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<sst xmlns="http://schemas.openxmlformats.org/spreadsheetml/2006/main" count="111" uniqueCount="99">
  <si>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The J. M. Smucker Company (SJM)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</si>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</sst>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0.0199866543809879</v>
      </c>
    </row>
    <row r="7" spans="1:2" x14ac:dyDescent="0.25">
      <c r="A7" t="s">
        <v>5</v>
      </c>
      <c r="B7" s="6">
        <v>0.16339306594673406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0.055583100293618</v>
      </c>
    </row>
    <row r="10" spans="1:2" x14ac:dyDescent="0.25">
      <c r="A10" t="s">
        <v>8</v>
      </c>
      <c r="B10" s="6">
        <v>0.05197010095646108</v>
      </c>
    </row>
    <row r="11" spans="1:2" x14ac:dyDescent="0.25">
      <c r="A11" t="s">
        <v>9</v>
      </c>
      <c r="B11" s="6">
        <v>-0.02368045649072753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10.612794745263157</v>
      </c>
    </row>
    <row r="14" spans="1:3" x14ac:dyDescent="0.25">
      <c r="A14" t="s">
        <v>12</v>
      </c>
      <c r="B14" s="6">
        <v>0.08260090045929358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0.5062099999999999</v>
      </c>
      <c r="C19" s="8" t="s">
        <v>19</v>
      </c>
    </row>
    <row r="20" spans="1:2" x14ac:dyDescent="0.25">
      <c r="A20" t="s">
        <v>20</v>
      </c>
      <c r="B20" s="10">
        <f>B17+B19*B18</f>
        <v>0.07782155</v>
      </c>
    </row>
    <row r="21" spans="1:3" x14ac:dyDescent="0.25">
      <c r="A21" t="s">
        <v>21</v>
      </c>
      <c r="B21" s="6">
        <v>0.051337647383625014</v>
      </c>
      <c r="C21" s="8" t="s">
        <v>22</v>
      </c>
    </row>
    <row r="22" spans="1:2" x14ac:dyDescent="0.25">
      <c r="A22" t="s">
        <v>23</v>
      </c>
      <c r="B22" s="11">
        <v>13133910016</v>
      </c>
    </row>
    <row r="23" spans="1:2" x14ac:dyDescent="0.25">
      <c r="A23" t="s">
        <v>24</v>
      </c>
      <c r="B23" s="11">
        <v>7089000000</v>
      </c>
    </row>
    <row r="24" spans="1:2" x14ac:dyDescent="0.25">
      <c r="A24" t="s">
        <v>25</v>
      </c>
      <c r="B24" s="10">
        <f>B22/(B22+B23)</f>
        <v>0.6494569775372925</v>
      </c>
    </row>
    <row r="25" spans="1:2" x14ac:dyDescent="0.25">
      <c r="A25" t="s">
        <v>26</v>
      </c>
      <c r="B25" s="10">
        <f>1-B24</f>
        <v>0.3505430224627075</v>
      </c>
    </row>
    <row r="26" spans="1:2" x14ac:dyDescent="0.25">
      <c r="A26" t="s">
        <v>27</v>
      </c>
      <c r="B26" s="12">
        <f>B24*B20+B25*B21*(1-B8)</f>
        <v>0.06475863137345197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9050900000</v>
      </c>
      <c r="C29" s="8" t="s">
        <v>30</v>
      </c>
    </row>
    <row r="30" spans="1:2" x14ac:dyDescent="0.25">
      <c r="A30" t="s">
        <v>31</v>
      </c>
      <c r="B30" s="11">
        <v>7030400000</v>
      </c>
    </row>
    <row r="31" spans="1:2" x14ac:dyDescent="0.25">
      <c r="A31" t="s">
        <v>32</v>
      </c>
      <c r="B31" s="13">
        <v>106700000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0.0199866543809879</v>
      </c>
      <c r="C5" s="10">
        <f>Assumptions!B6</f>
        <v>0.0199866543809879</v>
      </c>
      <c r="D5" s="10">
        <f>Assumptions!B6</f>
        <v>0.0199866543809879</v>
      </c>
      <c r="E5" s="10">
        <f>Assumptions!B6</f>
        <v>0.0199866543809879</v>
      </c>
      <c r="F5" s="10">
        <f>Assumptions!B6</f>
        <v>0.0199866543809879</v>
      </c>
    </row>
    <row r="6" spans="1:6" x14ac:dyDescent="0.25">
      <c r="A6" t="s">
        <v>43</v>
      </c>
      <c r="B6" s="18">
        <f>Assumptions!B29*(1+B5)</f>
        <v>9231797210.136883</v>
      </c>
      <c r="C6" s="18">
        <f>B6*(1+C5)</f>
        <v>9416309950.291258</v>
      </c>
      <c r="D6" s="18">
        <f>C6*(1+D5)</f>
        <v>9604510482.811987</v>
      </c>
      <c r="E6" s="18">
        <f>D6*(1+E5)</f>
        <v>9796472514.330524</v>
      </c>
      <c r="F6" s="18">
        <f>E6*(1+F5)</f>
        <v>9992271224.627296</v>
      </c>
    </row>
    <row r="7" spans="1:6" x14ac:dyDescent="0.25">
      <c r="A7" t="s">
        <v>5</v>
      </c>
      <c r="B7" s="10">
        <f>Assumptions!B7</f>
        <v>0.16339306594673406</v>
      </c>
      <c r="C7" s="10">
        <f>Assumptions!B7</f>
        <v>0.16339306594673406</v>
      </c>
      <c r="D7" s="10">
        <f>Assumptions!B7</f>
        <v>0.16339306594673406</v>
      </c>
      <c r="E7" s="10">
        <f>Assumptions!B7</f>
        <v>0.16339306594673406</v>
      </c>
      <c r="F7" s="10">
        <f>Assumptions!B7</f>
        <v>0.16339306594673406</v>
      </c>
    </row>
    <row r="8" spans="1:6" x14ac:dyDescent="0.25">
      <c r="A8" t="s">
        <v>44</v>
      </c>
      <c r="B8" s="18">
        <f>B6*B7</f>
        <v>1508411650.3627713</v>
      </c>
      <c r="C8" s="18">
        <f>C6*C7</f>
        <v>1538559752.6828275</v>
      </c>
      <c r="D8" s="18">
        <f>D6*D7</f>
        <v>1569310414.7041976</v>
      </c>
      <c r="E8" s="18">
        <f>E6*E7</f>
        <v>1600675679.579375</v>
      </c>
      <c r="F8" s="18">
        <f>F6*F7</f>
        <v>1632667831.1631808</v>
      </c>
    </row>
    <row r="9" spans="1:6" x14ac:dyDescent="0.25">
      <c r="A9" t="s">
        <v>45</v>
      </c>
      <c r="B9" s="18">
        <f>B8*(1-Assumptions!B8)</f>
        <v>1191645203.7865894</v>
      </c>
      <c r="C9" s="18">
        <f>C8*(1-Assumptions!B8)</f>
        <v>1215462204.6194336</v>
      </c>
      <c r="D9" s="18">
        <f>D8*(1-Assumptions!B8)</f>
        <v>1239755227.616316</v>
      </c>
      <c r="E9" s="18">
        <f>E8*(1-Assumptions!B8)</f>
        <v>1264533786.8677063</v>
      </c>
      <c r="F9" s="18">
        <f>F8*(1-Assumptions!B8)</f>
        <v>1289807586.618913</v>
      </c>
    </row>
    <row r="10" spans="1:6" x14ac:dyDescent="0.25">
      <c r="A10" t="s">
        <v>46</v>
      </c>
      <c r="B10" s="18">
        <f>B6*Assumptions!B9</f>
        <v>513131910.2213812</v>
      </c>
      <c r="C10" s="18">
        <f>C6*Assumptions!B9</f>
        <v>523387700.3628321</v>
      </c>
      <c r="D10" s="18">
        <f>D6*Assumptions!B9</f>
        <v>533848469.4372441</v>
      </c>
      <c r="E10" s="18">
        <f>E6*Assumptions!B9</f>
        <v>544518314.2877057</v>
      </c>
      <c r="F10" s="18">
        <f>F6*Assumptions!B9</f>
        <v>555401413.6394922</v>
      </c>
    </row>
    <row r="11" spans="1:6" x14ac:dyDescent="0.25">
      <c r="A11" t="s">
        <v>47</v>
      </c>
      <c r="B11" s="18">
        <f>-B6*Assumptions!B10</f>
        <v>-479777433.02038956</v>
      </c>
      <c r="C11" s="18">
        <f>-C6*Assumptions!B10</f>
        <v>-489366578.7539657</v>
      </c>
      <c r="D11" s="18">
        <f>-D6*Assumptions!B10</f>
        <v>-499147379.42912775</v>
      </c>
      <c r="E11" s="18">
        <f>-E6*Assumptions!B10</f>
        <v>-509123665.5869535</v>
      </c>
      <c r="F11" s="18">
        <f>-F6*Assumptions!B10</f>
        <v>-519299344.3282216</v>
      </c>
    </row>
    <row r="12" spans="1:6" x14ac:dyDescent="0.25">
      <c r="A12" t="s">
        <v>48</v>
      </c>
      <c r="B12" s="18">
        <f>-(B6-Assumptions!B29)*Assumptions!B11</f>
        <v>4283728.513940448</v>
      </c>
      <c r="C12" s="18">
        <f>-(C6-B6)*Assumptions!B11</f>
        <v>4369345.9152105935</v>
      </c>
      <c r="D12" s="18">
        <f>-(D6-C6)*Assumptions!B11</f>
        <v>4456674.521888876</v>
      </c>
      <c r="E12" s="18">
        <f>-(E6-D6)*Assumptions!B11</f>
        <v>4545748.535246395</v>
      </c>
      <c r="F12" s="18">
        <f>-(F6-E6)*Assumptions!B11</f>
        <v>4636602.840123274</v>
      </c>
    </row>
    <row r="13" spans="1:6" x14ac:dyDescent="0.25">
      <c r="A13" s="19" t="s">
        <v>49</v>
      </c>
      <c r="B13" s="20">
        <f>B9+B10+B11+B12</f>
        <v>1229283409.5015213</v>
      </c>
      <c r="C13" s="20">
        <f>C9+C10+C11+C12</f>
        <v>1253852672.1435106</v>
      </c>
      <c r="D13" s="20">
        <f>D9+D10+D11+D12</f>
        <v>1278912992.1463215</v>
      </c>
      <c r="E13" s="20">
        <f>E9+E10+E11+E12</f>
        <v>1304474184.103705</v>
      </c>
      <c r="F13" s="20">
        <f>F9+F10+F11+F12</f>
        <v>1330546258.7703068</v>
      </c>
    </row>
    <row r="14" spans="1:6" x14ac:dyDescent="0.25">
      <c r="A14" t="s">
        <v>50</v>
      </c>
      <c r="B14" s="21">
        <f>1/(1+Assumptions!$B$26)^(1-0.5*Assumptions!$B$32)</f>
        <v>0.9691129909772335</v>
      </c>
      <c r="C14" s="21">
        <f>1/(1+Assumptions!$B$26)^(2-0.5*Assumptions!$B$32)</f>
        <v>0.9101715284779204</v>
      </c>
      <c r="D14" s="21">
        <f>1/(1+Assumptions!$B$26)^(3-0.5*Assumptions!$B$32)</f>
        <v>0.8548148863596187</v>
      </c>
      <c r="E14" s="21">
        <f>1/(1+Assumptions!$B$26)^(4-0.5*Assumptions!$B$32)</f>
        <v>0.8028250358083286</v>
      </c>
      <c r="F14" s="21">
        <f>1/(1+Assumptions!$B$26)^(5-0.5*Assumptions!$B$32)</f>
        <v>0.7539972085248556</v>
      </c>
    </row>
    <row r="15" spans="1:6" x14ac:dyDescent="0.25">
      <c r="A15" s="19" t="s">
        <v>51</v>
      </c>
      <c r="B15" s="20">
        <f>B13*B14</f>
        <v>1191314521.7407107</v>
      </c>
      <c r="C15" s="20">
        <f>C13*C14</f>
        <v>1141221003.0909839</v>
      </c>
      <c r="D15" s="20">
        <f>D13*D14</f>
        <v>1093233864.0453978</v>
      </c>
      <c r="E15" s="20">
        <f>E13*E14</f>
        <v>1047264533.5640972</v>
      </c>
      <c r="F15" s="20">
        <f>F13*F14</f>
        <v>1003228164.9260015</v>
      </c>
    </row>
    <row r="17" spans="1:2" x14ac:dyDescent="0.25">
      <c r="A17" s="22" t="s">
        <v>52</v>
      </c>
      <c r="B17" s="23">
        <f>SUM(B15:F15)</f>
        <v>5476262087.367191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1330546258.7703068</v>
      </c>
    </row>
    <row r="5" spans="1:2" x14ac:dyDescent="0.25">
      <c r="A5" t="s">
        <v>56</v>
      </c>
      <c r="B5" s="18">
        <f>IF(Assumptions!$B$33=0,B4,B4-Forecast!F11-Forecast!F10-Forecast!F12)</f>
        <v>1479307073.3647194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0.3026601388240339</v>
      </c>
    </row>
    <row r="7" spans="1:2" x14ac:dyDescent="0.25">
      <c r="A7" t="s">
        <v>58</v>
      </c>
      <c r="B7" s="18">
        <f>-MAX(Forecast!F9,0)*B6</f>
        <v>-447727284.1879413</v>
      </c>
    </row>
    <row r="8" spans="1:2" x14ac:dyDescent="0.25">
      <c r="A8" t="s">
        <v>59</v>
      </c>
      <c r="B8" s="18">
        <f>IF(OR(Assumptions!$B$33=0,Assumptions!B12&lt;=0),B5,MAX(B5+B7,0))</f>
        <v>1031579789.1767781</v>
      </c>
    </row>
    <row r="9" spans="1:2" x14ac:dyDescent="0.25">
      <c r="A9" t="s">
        <v>60</v>
      </c>
      <c r="B9" s="18">
        <f>B8*(1+Assumptions!B12)/(Assumptions!B26-Assumptions!B12)</f>
        <v>26594710315.21056</v>
      </c>
    </row>
    <row r="10" spans="1:2" x14ac:dyDescent="0.25">
      <c r="A10" t="s">
        <v>61</v>
      </c>
      <c r="B10" s="18">
        <f>B9/(1+Assumptions!B26)^(5-0.5*Assumptions!B32)</f>
        <v>20052337339.195946</v>
      </c>
    </row>
    <row r="11" spans="1:2" x14ac:dyDescent="0.25">
      <c r="A11" t="s">
        <v>62</v>
      </c>
      <c r="B11" s="18">
        <f>Forecast!B17+B10</f>
        <v>25528599426.563137</v>
      </c>
    </row>
    <row r="12" spans="1:2" x14ac:dyDescent="0.25">
      <c r="A12" t="s">
        <v>63</v>
      </c>
      <c r="B12" s="18">
        <f>-Assumptions!B30</f>
        <v>-7030400000</v>
      </c>
    </row>
    <row r="13" spans="1:2" x14ac:dyDescent="0.25">
      <c r="A13" t="s">
        <v>64</v>
      </c>
      <c r="B13" s="18">
        <f>B11+B12</f>
        <v>18498199426.563137</v>
      </c>
    </row>
    <row r="14" spans="1:2" x14ac:dyDescent="0.25">
      <c r="A14" s="19" t="s">
        <v>65</v>
      </c>
      <c r="B14" s="24">
        <f>B13/Assumptions!B31</f>
        <v>173.36644261071356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2188069244.802673</v>
      </c>
    </row>
    <row r="18" spans="1:2" x14ac:dyDescent="0.25">
      <c r="A18" t="s">
        <v>60</v>
      </c>
      <c r="B18" s="18">
        <f>B17*Assumptions!B13</f>
        <v>23221529783.51373</v>
      </c>
    </row>
    <row r="19" spans="1:2" x14ac:dyDescent="0.25">
      <c r="A19" t="s">
        <v>61</v>
      </c>
      <c r="B19" s="18">
        <f>B18/(1+Assumptions!B26)^(5-0.5*Assumptions!B32)</f>
        <v>17508968634.446148</v>
      </c>
    </row>
    <row r="20" spans="1:2" x14ac:dyDescent="0.25">
      <c r="A20" t="s">
        <v>62</v>
      </c>
      <c r="B20" s="18">
        <f>Forecast!B17+B19</f>
        <v>22985230721.81334</v>
      </c>
    </row>
    <row r="21" spans="1:2" x14ac:dyDescent="0.25">
      <c r="A21" t="s">
        <v>63</v>
      </c>
      <c r="B21" s="18">
        <f>-Assumptions!B30</f>
        <v>-7030400000</v>
      </c>
    </row>
    <row r="22" spans="1:2" x14ac:dyDescent="0.25">
      <c r="A22" t="s">
        <v>64</v>
      </c>
      <c r="B22" s="18">
        <f>B20+B21</f>
        <v>15954830721.81334</v>
      </c>
    </row>
    <row r="23" spans="1:2" x14ac:dyDescent="0.25">
      <c r="A23" s="19" t="s">
        <v>65</v>
      </c>
      <c r="B23" s="25">
        <f>B22/Assumptions!B31</f>
        <v>149.52980995139023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122.95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173.36644261071356</v>
      </c>
    </row>
    <row r="29" spans="1:2" x14ac:dyDescent="0.25">
      <c r="A29" s="19" t="s">
        <v>73</v>
      </c>
      <c r="B29" s="12">
        <f>B28/B26-1</f>
        <v>0.41005646694358333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0.044759</v>
      </c>
      <c r="B5" s="31">
        <v>305.6453272740382</v>
      </c>
      <c r="C5" s="31">
        <v>343.31253410749446</v>
      </c>
      <c r="D5" s="31">
        <v>399.6942853044706</v>
      </c>
      <c r="E5" s="31">
        <v>493.8107153898531</v>
      </c>
      <c r="F5" s="31">
        <v>683.6616382099477</v>
      </c>
    </row>
    <row r="6" spans="1:6" x14ac:dyDescent="0.25">
      <c r="A6" s="30">
        <v>0.054759</v>
      </c>
      <c r="B6" s="31">
        <v>214.49984464834287</v>
      </c>
      <c r="C6" s="31">
        <v>229.18946114871304</v>
      </c>
      <c r="D6" s="31">
        <v>248.59341454212637</v>
      </c>
      <c r="E6" s="31">
        <v>275.56784010850737</v>
      </c>
      <c r="F6" s="31">
        <v>315.8598446141152</v>
      </c>
    </row>
    <row r="7" spans="1:6" x14ac:dyDescent="0.25">
      <c r="A7" s="30">
        <v>0.064759</v>
      </c>
      <c r="B7" s="31">
        <v>159.94637653595765</v>
      </c>
      <c r="C7" s="31">
        <v>165.97659970794177</v>
      </c>
      <c r="D7" s="32">
        <v>173.36436451708485</v>
      </c>
      <c r="E7" s="31">
        <v>182.69550843159348</v>
      </c>
      <c r="F7" s="31">
        <v>194.94959012549828</v>
      </c>
    </row>
    <row r="8" spans="1:6" x14ac:dyDescent="0.25">
      <c r="A8" s="30">
        <v>0.074759</v>
      </c>
      <c r="B8" s="31">
        <v>123.6170800323143</v>
      </c>
      <c r="C8" s="31">
        <v>125.78640531851667</v>
      </c>
      <c r="D8" s="31">
        <v>128.26976785901752</v>
      </c>
      <c r="E8" s="31">
        <v>131.17241037180636</v>
      </c>
      <c r="F8" s="31">
        <v>134.65251589932157</v>
      </c>
    </row>
    <row r="9" spans="1:6" x14ac:dyDescent="0.25">
      <c r="A9" s="30">
        <v>0.084759</v>
      </c>
      <c r="B9" s="31">
        <v>98.3229442531688</v>
      </c>
      <c r="C9" s="31">
        <v>98.89006876089903</v>
      </c>
      <c r="D9" s="31">
        <v>99.45719326862928</v>
      </c>
      <c r="E9" s="31">
        <v>100.02431777635958</v>
      </c>
      <c r="F9" s="31">
        <v>100.59144228408985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9050900000</v>
      </c>
      <c r="C5" s="18">
        <v>8726100000</v>
      </c>
      <c r="D5" s="18">
        <v>8178700000</v>
      </c>
      <c r="E5" s="18">
        <v>8529200000</v>
      </c>
      <c r="F5" s="8" t="s">
        <v>84</v>
      </c>
    </row>
    <row r="6" spans="1:6" x14ac:dyDescent="0.25">
      <c r="A6" t="s">
        <v>44</v>
      </c>
      <c r="B6" s="18">
        <v>1343000000</v>
      </c>
      <c r="C6" s="18">
        <v>1654500000</v>
      </c>
      <c r="D6" s="18">
        <v>1448900000</v>
      </c>
      <c r="E6" s="18">
        <v>1180700000</v>
      </c>
      <c r="F6" s="8" t="s">
        <v>85</v>
      </c>
    </row>
    <row r="7" spans="1:6" x14ac:dyDescent="0.25">
      <c r="A7" t="s">
        <v>86</v>
      </c>
      <c r="B7" s="18">
        <v>557000000</v>
      </c>
      <c r="C7" s="18">
        <v>502500000</v>
      </c>
      <c r="D7" s="18">
        <v>430800000</v>
      </c>
      <c r="E7" s="18">
        <v>431000000</v>
      </c>
      <c r="F7" s="8" t="s">
        <v>87</v>
      </c>
    </row>
    <row r="8" spans="1:6" x14ac:dyDescent="0.25">
      <c r="A8" t="s">
        <v>88</v>
      </c>
      <c r="B8" s="18">
        <v>317400000</v>
      </c>
      <c r="C8" s="18">
        <v>393800000</v>
      </c>
      <c r="D8" s="18">
        <v>586500000</v>
      </c>
      <c r="E8" s="18">
        <v>477400000</v>
      </c>
      <c r="F8" s="8" t="s">
        <v>89</v>
      </c>
    </row>
    <row r="9" spans="1:6" x14ac:dyDescent="0.25">
      <c r="A9" t="s">
        <v>90</v>
      </c>
      <c r="B9" s="18">
        <v>-89600000</v>
      </c>
      <c r="C9" s="18">
        <v>284800000</v>
      </c>
      <c r="D9" s="18">
        <v>8300000</v>
      </c>
      <c r="E9" s="18">
        <v>-38900000</v>
      </c>
      <c r="F9" s="8" t="s">
        <v>91</v>
      </c>
    </row>
    <row r="10" spans="1:6" x14ac:dyDescent="0.25">
      <c r="A10" t="s">
        <v>92</v>
      </c>
      <c r="B10" s="18">
        <v>7089000000</v>
      </c>
      <c r="C10" s="18">
        <v>7761700000</v>
      </c>
      <c r="D10" s="18">
        <v>8507500000</v>
      </c>
      <c r="E10" s="18">
        <v>4424600000</v>
      </c>
      <c r="F10" s="8" t="s">
        <v>93</v>
      </c>
    </row>
    <row r="11" spans="1:6" x14ac:dyDescent="0.25">
      <c r="A11" t="s">
        <v>94</v>
      </c>
      <c r="B11" s="18">
        <v>58600000</v>
      </c>
      <c r="C11" s="18">
        <v>69900000</v>
      </c>
      <c r="D11" s="18">
        <v>62000000</v>
      </c>
      <c r="E11" s="18">
        <v>1143600000</v>
      </c>
      <c r="F11" s="8" t="s">
        <v>95</v>
      </c>
    </row>
    <row r="12" spans="1:6" x14ac:dyDescent="0.25">
      <c r="A12" t="s">
        <v>32</v>
      </c>
      <c r="B12" s="34">
        <v>106700000</v>
      </c>
      <c r="C12" s="34">
        <v>106400000</v>
      </c>
      <c r="D12" s="34">
        <v>104400000</v>
      </c>
      <c r="E12" s="34">
        <v>106200000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