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<sst xmlns="http://schemas.openxmlformats.org/spreadsheetml/2006/main" count="119" uniqueCount="106">
  <si>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The J. M. Smucker Company (SJM)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</si>
  <si>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</si>
  <si>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</si>
  <si>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</si>
  <si>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</si>
  <si>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</si>
  <si>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</si>
  <si>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</si>
  <si>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</si>
  <si>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</si>
  <si>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</si>
  <si>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</si>
  <si>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</si>
  <si>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</si>
  <si>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</si>
  <si>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</si>
  <si>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</si>
  <si>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</si>
  <si>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</si>
  <si>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</si>
  <si>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</si>
  <si>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</si>
  <si>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</si>
  <si>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</si>
  <si>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3.5x interest cover.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</si>
  <si>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</si>
  <si>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</si>
  <si>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</si>
  <si>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</si>
  <si>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</si>
  <si>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</si>
  <si>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</si>
  <si>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2026-04-30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</si>
  <si>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</si>
  <si>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</si>
  <si>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</si>
  <si>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</si>
  <si>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</si>
  <si>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</si>
  <si>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</si>
  <si>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</si>
  <si>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</si>
  <si>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</si>
  <si>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</si>
  <si>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</si>
  <si>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</si>
  <si>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</si>
  <si>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</si>
  <si>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</si>
  <si>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</si>
  <si>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</si>
  <si>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</si>
  <si>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</si>
  <si>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</si>
  <si>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</si>
  <si>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</si>
  <si>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</si>
  <si>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</si>
  <si>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</si>
  <si>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</si>
  <si>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</si>
  <si>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</si>
  <si>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</si>
  <si>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</si>
  <si>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</si>
  <si>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</si>
  <si>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</si>
  <si>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</si>
  <si>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</si>
  <si>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</si>
  <si>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</si>
  <si>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</si>
  <si>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</si>
  <si>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</si>
  <si>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</si>
  <si>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</si>
  <si>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</si>
  <si>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</si>
  <si>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</si>
  <si>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</si>
  <si>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</si>
  <si>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</si>
  <si>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</si>
  <si>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</si>
  <si>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</si>
  <si>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</si>
  <si>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2026-04-30</t>
  </si>
  <si>
    <t>2025-04-30</t>
  </si>
  <si>
    <t>2024-04-30</t>
  </si>
  <si>
    <t>2023-04-30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</si>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</sst>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-0.013304491266061924</v>
      </c>
    </row>
    <row r="7" spans="1:2" x14ac:dyDescent="0.25">
      <c r="A7" t="s">
        <v>4</v>
      </c>
      <c r="B7" s="5">
        <v>0.16339306594673406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0.055583100293618</v>
      </c>
    </row>
    <row r="10" spans="1:3" x14ac:dyDescent="0.25">
      <c r="A10" t="s">
        <v>7</v>
      </c>
      <c r="B10" s="5">
        <v>0.05197010095646108</v>
      </c>
      <c r="C10" s="6" t="s">
        <v>8</v>
      </c>
    </row>
    <row r="11" spans="1:2" x14ac:dyDescent="0.25">
      <c r="A11" t="s">
        <v>9</v>
      </c>
      <c r="B11" s="5">
        <v>0.05777470089748672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11.00354236631579</v>
      </c>
    </row>
    <row r="14" spans="1:3" x14ac:dyDescent="0.25">
      <c r="A14" t="s">
        <v>12</v>
      </c>
      <c r="B14" s="5">
        <v>0.08260090045929358</v>
      </c>
      <c r="C14" s="6" t="s">
        <v>13</v>
      </c>
    </row>
    <row r="15" spans="1:3" x14ac:dyDescent="0.25">
      <c r="A15" t="s">
        <v>14</v>
      </c>
      <c r="B15" s="5">
        <v>0.03157726992329461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0.50822</v>
      </c>
      <c r="C19" s="6" t="s">
        <v>21</v>
      </c>
    </row>
    <row r="20" spans="1:2" x14ac:dyDescent="0.25">
      <c r="A20" t="s">
        <v>22</v>
      </c>
      <c r="B20" s="9">
        <f>B17+B19*B18</f>
        <v>0.070437706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13876330496</v>
      </c>
    </row>
    <row r="23" spans="1:2" x14ac:dyDescent="0.25">
      <c r="A23" t="s">
        <v>26</v>
      </c>
      <c r="B23" s="10">
        <v>7089000000</v>
      </c>
    </row>
    <row r="24" spans="1:2" x14ac:dyDescent="0.25">
      <c r="A24" t="s">
        <v>27</v>
      </c>
      <c r="B24" s="9">
        <f>B22/(B22+B23)</f>
        <v>0.6618703434533255</v>
      </c>
    </row>
    <row r="25" spans="1:2" x14ac:dyDescent="0.25">
      <c r="A25" t="s">
        <v>28</v>
      </c>
      <c r="B25" s="9">
        <f>1-B24</f>
        <v>0.3381296565466745</v>
      </c>
    </row>
    <row r="26" spans="1:2" x14ac:dyDescent="0.25">
      <c r="A26" t="s">
        <v>29</v>
      </c>
      <c r="B26" s="11">
        <f>B24*B20+B25*B21*(1-B8)</f>
        <v>0.062070989936665495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9050900000</v>
      </c>
      <c r="C29" s="6" t="s">
        <v>32</v>
      </c>
    </row>
    <row r="30" spans="1:2" x14ac:dyDescent="0.25">
      <c r="A30" t="s">
        <v>33</v>
      </c>
      <c r="B30" s="10">
        <v>7030400000</v>
      </c>
    </row>
    <row r="31" spans="1:2" x14ac:dyDescent="0.25">
      <c r="A31" t="s">
        <v>34</v>
      </c>
      <c r="B31" s="12">
        <v>106700000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-0.013304491266061924</v>
      </c>
      <c r="C5" s="5">
        <v>0.012072823775058028</v>
      </c>
      <c r="D5" s="5">
        <v>0.013688720803175774</v>
      </c>
      <c r="E5" s="5">
        <v>0.015304617831293521</v>
      </c>
      <c r="F5" s="5">
        <v>0.01692051485941127</v>
      </c>
      <c r="G5" s="5">
        <v>0.018536411887529015</v>
      </c>
      <c r="H5" s="5">
        <v>0.02015230891564676</v>
      </c>
      <c r="I5" s="5">
        <v>0.02176820594376451</v>
      </c>
      <c r="J5" s="5">
        <v>0.023384102971882256</v>
      </c>
      <c r="K5" s="5">
        <v>0.025</v>
      </c>
    </row>
    <row r="6" spans="1:11" x14ac:dyDescent="0.25">
      <c r="A6" t="s">
        <v>50</v>
      </c>
      <c r="B6" s="18">
        <f>Assumptions!B29*(1+B5)</f>
        <v>8930482380</v>
      </c>
      <c r="C6" s="18">
        <f>B6*(1+C5)</f>
        <v>9038298520</v>
      </c>
      <c r="D6" s="18">
        <f>C6*(1+D5)</f>
        <v>9162021264.976036</v>
      </c>
      <c r="E6" s="18">
        <f>D6*(1+E5)</f>
        <v>9302242498.998678</v>
      </c>
      <c r="F6" s="18">
        <f>E6*(1+F5)</f>
        <v>9459641231.428833</v>
      </c>
      <c r="G6" s="18">
        <f>F6*(1+G5)</f>
        <v>9634989037.60285</v>
      </c>
      <c r="H6" s="18">
        <f>G6*(1+H5)</f>
        <v>9829156313.087492</v>
      </c>
      <c r="I6" s="18">
        <f>H6*(1+I5)</f>
        <v>10043119411.964233</v>
      </c>
      <c r="J6" s="18">
        <f>I6*(1+J5)</f>
        <v>10277968750.452515</v>
      </c>
      <c r="K6" s="18">
        <f>J6*(1+K5)</f>
        <v>10534917969.213827</v>
      </c>
    </row>
    <row r="7" spans="1:11" x14ac:dyDescent="0.25">
      <c r="A7" t="s">
        <v>4</v>
      </c>
      <c r="B7" s="9">
        <f>Assumptions!B7</f>
        <v>0.16339306594673406</v>
      </c>
      <c r="C7" s="9">
        <f>Assumptions!B7</f>
        <v>0.16339306594673406</v>
      </c>
      <c r="D7" s="9">
        <f>Assumptions!B7</f>
        <v>0.16339306594673406</v>
      </c>
      <c r="E7" s="9">
        <f>Assumptions!B7</f>
        <v>0.16339306594673406</v>
      </c>
      <c r="F7" s="9">
        <f>Assumptions!B7</f>
        <v>0.16339306594673406</v>
      </c>
      <c r="G7" s="9">
        <f>Assumptions!B7</f>
        <v>0.16339306594673406</v>
      </c>
      <c r="H7" s="9">
        <f>Assumptions!B7</f>
        <v>0.16339306594673406</v>
      </c>
      <c r="I7" s="9">
        <f>Assumptions!B7</f>
        <v>0.16339306594673406</v>
      </c>
      <c r="J7" s="9">
        <f>Assumptions!B7</f>
        <v>0.16339306594673406</v>
      </c>
      <c r="K7" s="9">
        <f>Assumptions!B7</f>
        <v>0.16339306594673406</v>
      </c>
    </row>
    <row r="8" spans="1:11" x14ac:dyDescent="0.25">
      <c r="A8" t="s">
        <v>51</v>
      </c>
      <c r="B8" s="18">
        <f>B6*B7</f>
        <v>1459178896.4514866</v>
      </c>
      <c r="C8" s="18">
        <f>C6*C7</f>
        <v>1476795306.1246288</v>
      </c>
      <c r="D8" s="18">
        <f>D6*D7</f>
        <v>1497010744.7536092</v>
      </c>
      <c r="E8" s="18">
        <f>E6*E7</f>
        <v>1519921922.0914032</v>
      </c>
      <c r="F8" s="18">
        <f>F6*F7</f>
        <v>1545639783.559296</v>
      </c>
      <c r="G8" s="18">
        <f>G6*G7</f>
        <v>1574290399.217102</v>
      </c>
      <c r="H8" s="18">
        <f>H6*H7</f>
        <v>1606015985.665062</v>
      </c>
      <c r="I8" s="18">
        <f>I6*I7</f>
        <v>1640976072.389997</v>
      </c>
      <c r="J8" s="18">
        <f>J6*J7</f>
        <v>1679348825.8411596</v>
      </c>
      <c r="K8" s="18">
        <f>K6*K7</f>
        <v>1721332546.4871886</v>
      </c>
    </row>
    <row r="9" spans="1:11" x14ac:dyDescent="0.25">
      <c r="A9" t="s">
        <v>52</v>
      </c>
      <c r="B9" s="18">
        <f>B8*(1-Assumptions!B8)</f>
        <v>1152751328.1966743</v>
      </c>
      <c r="C9" s="18">
        <f>C8*(1-Assumptions!B8)</f>
        <v>1166668291.8384569</v>
      </c>
      <c r="D9" s="18">
        <f>D8*(1-Assumptions!B8)</f>
        <v>1182638488.3553512</v>
      </c>
      <c r="E9" s="18">
        <f>E8*(1-Assumptions!B8)</f>
        <v>1200738318.4522085</v>
      </c>
      <c r="F9" s="18">
        <f>F8*(1-Assumptions!B8)</f>
        <v>1221055429.011844</v>
      </c>
      <c r="G9" s="18">
        <f>G8*(1-Assumptions!B8)</f>
        <v>1243689415.3815107</v>
      </c>
      <c r="H9" s="18">
        <f>H8*(1-Assumptions!B8)</f>
        <v>1268752628.675399</v>
      </c>
      <c r="I9" s="18">
        <f>I8*(1-Assumptions!B8)</f>
        <v>1296371097.1880977</v>
      </c>
      <c r="J9" s="18">
        <f>J8*(1-Assumptions!B8)</f>
        <v>1326685572.4145162</v>
      </c>
      <c r="K9" s="18">
        <f>K8*(1-Assumptions!B8)</f>
        <v>1359852711.724879</v>
      </c>
    </row>
    <row r="10" spans="1:11" x14ac:dyDescent="0.25">
      <c r="A10" t="s">
        <v>53</v>
      </c>
      <c r="B10" s="18">
        <f>B6*Assumptions!B9</f>
        <v>496383897.7979284</v>
      </c>
      <c r="C10" s="18">
        <f>C6*Assumptions!B9</f>
        <v>502376653.12081915</v>
      </c>
      <c r="D10" s="18">
        <f>D6*Assumptions!B9</f>
        <v>509253546.8634239</v>
      </c>
      <c r="E10" s="18">
        <f>E6*Assumptions!B9</f>
        <v>517047477.7773993</v>
      </c>
      <c r="F10" s="18">
        <f>F6*Assumptions!B9</f>
        <v>525796187.3081529</v>
      </c>
      <c r="G10" s="18">
        <f>G6*Assumptions!B9</f>
        <v>535542562.0049892</v>
      </c>
      <c r="H10" s="18">
        <f>H6*Assumptions!B9</f>
        <v>546334981.1519907</v>
      </c>
      <c r="I10" s="18">
        <f>I6*Assumptions!B9</f>
        <v>558227713.5359899</v>
      </c>
      <c r="J10" s="18">
        <f>J6*Assumptions!B9</f>
        <v>571281367.8710738</v>
      </c>
      <c r="K10" s="18">
        <f>K6*Assumptions!B9</f>
        <v>585563402.0678506</v>
      </c>
    </row>
    <row r="11" spans="1:11" x14ac:dyDescent="0.25">
      <c r="A11" t="s">
        <v>54</v>
      </c>
      <c r="B11" s="18">
        <f>-B6*B19</f>
        <v>-464118070.8784968</v>
      </c>
      <c r="C11" s="18">
        <f>-C6*C19</f>
        <v>-494239707.911329</v>
      </c>
      <c r="D11" s="18">
        <f>-D6*D19</f>
        <v>-525859264.4594927</v>
      </c>
      <c r="E11" s="18">
        <f>-E6*E19</f>
        <v>-559141768.4054134</v>
      </c>
      <c r="F11" s="18">
        <f>-F6*F19</f>
        <v>-594264143.4052267</v>
      </c>
      <c r="G11" s="18">
        <f>-G6*G19</f>
        <v>-631416747.1720656</v>
      </c>
      <c r="H11" s="18">
        <f>-H6*H19</f>
        <v>-670805053.8371091</v>
      </c>
      <c r="I11" s="18">
        <f>-I6*I19</f>
        <v>-712651500.837083</v>
      </c>
      <c r="J11" s="18">
        <f>-J6*J19</f>
        <v>-757197523.1053458</v>
      </c>
      <c r="K11" s="18">
        <f>-K6*K19</f>
        <v>-804705800.0273422</v>
      </c>
    </row>
    <row r="12" spans="1:11" x14ac:dyDescent="0.25">
      <c r="A12" t="s">
        <v>55</v>
      </c>
      <c r="B12" s="18">
        <f>-(B6-Assumptions!B29)*Assumptions!B11</f>
        <v>6957091.978287215</v>
      </c>
      <c r="C12" s="18">
        <f>-(C6-B6)*Assumptions!B11</f>
        <v>-6229045.240421554</v>
      </c>
      <c r="D12" s="18">
        <f>-(D6-C6)*Assumptions!B11</f>
        <v>-7148044.585206512</v>
      </c>
      <c r="E12" s="18">
        <f>-(E6-D6)*Assumptions!B11</f>
        <v>-8101239.855134638</v>
      </c>
      <c r="F12" s="18">
        <f>-(F6-E6)*Assumptions!B11</f>
        <v>-9093664.687795738</v>
      </c>
      <c r="G12" s="18">
        <f>-(G6-F6)*Assumptions!B11</f>
        <v>-10130667.054734305</v>
      </c>
      <c r="H12" s="18">
        <f>-(H6-G6)*Assumptions!B11</f>
        <v>-11217956.2652051</v>
      </c>
      <c r="I12" s="18">
        <f>-(I6-H6)*Assumptions!B11</f>
        <v>-12361654.040703112</v>
      </c>
      <c r="J12" s="18">
        <f>-(J6-I6)*Assumptions!B11</f>
        <v>-13568350.287133066</v>
      </c>
      <c r="K12" s="18">
        <f>-(K6-J6)*Assumptions!B11</f>
        <v>-14845164.259777712</v>
      </c>
    </row>
    <row r="13" spans="1:11" x14ac:dyDescent="0.25">
      <c r="A13" s="19" t="s">
        <v>56</v>
      </c>
      <c r="B13" s="20">
        <f>B9+B10+B11+B12</f>
        <v>1191974247.094393</v>
      </c>
      <c r="C13" s="20">
        <f>C9+C10+C11+C12</f>
        <v>1168576191.8075254</v>
      </c>
      <c r="D13" s="20">
        <f>D9+D10+D11+D12</f>
        <v>1158884726.1740758</v>
      </c>
      <c r="E13" s="20">
        <f>E9+E10+E11+E12</f>
        <v>1150542787.9690597</v>
      </c>
      <c r="F13" s="20">
        <f>F9+F10+F11+F12</f>
        <v>1143493808.2269745</v>
      </c>
      <c r="G13" s="20">
        <f>G9+G10+G11+G12</f>
        <v>1137684563.1597</v>
      </c>
      <c r="H13" s="20">
        <f>H9+H10+H11+H12</f>
        <v>1133064599.7250755</v>
      </c>
      <c r="I13" s="20">
        <f>I9+I10+I11+I12</f>
        <v>1129585655.8463018</v>
      </c>
      <c r="J13" s="20">
        <f>J9+J10+J11+J12</f>
        <v>1127201066.8931115</v>
      </c>
      <c r="K13" s="20">
        <f>K9+K10+K11+K12</f>
        <v>1125865149.5056098</v>
      </c>
    </row>
    <row r="14" spans="1:11" x14ac:dyDescent="0.25">
      <c r="A14" t="s">
        <v>57</v>
      </c>
      <c r="B14" s="21">
        <f>1/(1+Assumptions!$B$26)^(1-0.5*Assumptions!$B$32)</f>
        <v>0.9703384187223838</v>
      </c>
      <c r="C14" s="21">
        <f>1/(1+Assumptions!$B$26)^(2-0.5*Assumptions!$B$32)</f>
        <v>0.9136285878406755</v>
      </c>
      <c r="D14" s="21">
        <f>1/(1+Assumptions!$B$26)^(3-0.5*Assumptions!$B$32)</f>
        <v>0.8602330696323394</v>
      </c>
      <c r="E14" s="21">
        <f>1/(1+Assumptions!$B$26)^(4-0.5*Assumptions!$B$32)</f>
        <v>0.8099581645513523</v>
      </c>
      <c r="F14" s="21">
        <f>1/(1+Assumptions!$B$26)^(5-0.5*Assumptions!$B$32)</f>
        <v>0.7626214935026635</v>
      </c>
      <c r="G14" s="21">
        <f>1/(1+Assumptions!$B$26)^(6-0.5*Assumptions!$B$32)</f>
        <v>0.7180513362370823</v>
      </c>
      <c r="H14" s="21">
        <f>1/(1+Assumptions!$B$26)^(7-0.5*Assumptions!$B$32)</f>
        <v>0.6760860084125845</v>
      </c>
      <c r="I14" s="21">
        <f>1/(1+Assumptions!$B$26)^(8-0.5*Assumptions!$B$32)</f>
        <v>0.6365732750622455</v>
      </c>
      <c r="J14" s="21">
        <f>1/(1+Assumptions!$B$26)^(9-0.5*Assumptions!$B$32)</f>
        <v>0.5993697983410754</v>
      </c>
      <c r="K14" s="21">
        <f>1/(1+Assumptions!$B$26)^(10-0.5*Assumptions!$B$32)</f>
        <v>0.5643406175483783</v>
      </c>
    </row>
    <row r="15" spans="1:11" x14ac:dyDescent="0.25">
      <c r="A15" s="19" t="s">
        <v>58</v>
      </c>
      <c r="B15" s="20">
        <f>B13*B14</f>
        <v>1156618406.0833774</v>
      </c>
      <c r="C15" s="20">
        <f>C13*C14</f>
        <v>1067644615.9053438</v>
      </c>
      <c r="D15" s="20">
        <f>D13*D14</f>
        <v>996910965.3467584</v>
      </c>
      <c r="E15" s="20">
        <f>E13*E14</f>
        <v>931891524.7812153</v>
      </c>
      <c r="F15" s="20">
        <f>F13*F14</f>
        <v>872052955.8411036</v>
      </c>
      <c r="G15" s="20">
        <f>G13*G14</f>
        <v>816915920.7931237</v>
      </c>
      <c r="H15" s="20">
        <f>H13*H14</f>
        <v>766049122.501729</v>
      </c>
      <c r="I15" s="20">
        <f>I13*I14</f>
        <v>719064040.4054148</v>
      </c>
      <c r="J15" s="20">
        <f>J13*J14</f>
        <v>675610276.1535692</v>
      </c>
      <c r="K15" s="20">
        <f>K13*K14</f>
        <v>635371433.748193</v>
      </c>
    </row>
    <row r="17" spans="1:2" x14ac:dyDescent="0.25">
      <c r="A17" s="22" t="s">
        <v>59</v>
      </c>
      <c r="B17" s="23">
        <f>SUM(B15:K15)</f>
        <v>8638129261.559828</v>
      </c>
    </row>
    <row r="19" spans="1:11" x14ac:dyDescent="0.25">
      <c r="A19" t="s">
        <v>7</v>
      </c>
      <c r="B19" s="9">
        <f>Assumptions!$B$10+($B$20-Assumptions!$B$10)*0/9</f>
        <v>0.05197010095646108</v>
      </c>
      <c r="C19" s="9">
        <f>Assumptions!$B$10+($B$20-Assumptions!$B$10)*1/9</f>
        <v>0.05468282628834094</v>
      </c>
      <c r="D19" s="9">
        <f>Assumptions!$B$10+($B$20-Assumptions!$B$10)*2/9</f>
        <v>0.057395551620220794</v>
      </c>
      <c r="E19" s="9">
        <f>Assumptions!$B$10+($B$20-Assumptions!$B$10)*3/9</f>
        <v>0.060108276952100644</v>
      </c>
      <c r="F19" s="9">
        <f>Assumptions!$B$10+($B$20-Assumptions!$B$10)*4/9</f>
        <v>0.06282100228398049</v>
      </c>
      <c r="G19" s="9">
        <f>Assumptions!$B$10+($B$20-Assumptions!$B$10)*5/9</f>
        <v>0.06553372761586035</v>
      </c>
      <c r="H19" s="9">
        <f>Assumptions!$B$10+($B$20-Assumptions!$B$10)*6/9</f>
        <v>0.0682464529477402</v>
      </c>
      <c r="I19" s="9">
        <f>Assumptions!$B$10+($B$20-Assumptions!$B$10)*7/9</f>
        <v>0.07095917827962006</v>
      </c>
      <c r="J19" s="9">
        <f>Assumptions!$B$10+($B$20-Assumptions!$B$10)*8/9</f>
        <v>0.07367190361149992</v>
      </c>
      <c r="K19" s="9">
        <f>Assumptions!$B$10+($B$20-Assumptions!$B$10)*9/9</f>
        <v>0.07638462894337977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0.07638462894337977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1125865149.5056098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1559643280.174912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0.3026601388240339</v>
      </c>
    </row>
    <row r="7" spans="1:2" x14ac:dyDescent="0.25">
      <c r="A7" t="s">
        <v>66</v>
      </c>
      <c r="B7" s="18">
        <f>-MAX(B5,0)*B6</f>
        <v>-472041851.6937105</v>
      </c>
    </row>
    <row r="8" spans="1:2" x14ac:dyDescent="0.25">
      <c r="A8" t="s">
        <v>67</v>
      </c>
      <c r="B8" s="18">
        <f>IF(OR(Assumptions!$B$33=0,Assumptions!B12&lt;=0),B5,MAX(B5+B7,0))</f>
        <v>1087601428.4812014</v>
      </c>
    </row>
    <row r="9" spans="1:2" x14ac:dyDescent="0.25">
      <c r="A9" t="s">
        <v>68</v>
      </c>
      <c r="B9" s="18">
        <f>B8*(1+Assumptions!B12)/(Assumptions!B26-Assumptions!B12)</f>
        <v>30071801861.720284</v>
      </c>
    </row>
    <row r="10" spans="1:2" x14ac:dyDescent="0.25">
      <c r="A10" t="s">
        <v>69</v>
      </c>
      <c r="B10" s="18">
        <f>B9/(1+Assumptions!B26)^(10-0.5*Assumptions!B32)</f>
        <v>16970739233.435696</v>
      </c>
    </row>
    <row r="11" spans="1:2" x14ac:dyDescent="0.25">
      <c r="A11" t="s">
        <v>70</v>
      </c>
      <c r="B11" s="18">
        <f>Forecast!B17+B10</f>
        <v>25608868494.99552</v>
      </c>
    </row>
    <row r="12" spans="1:2" x14ac:dyDescent="0.25">
      <c r="A12" t="s">
        <v>71</v>
      </c>
      <c r="B12" s="18">
        <f>-Assumptions!B30</f>
        <v>-7030400000</v>
      </c>
    </row>
    <row r="13" spans="1:2" x14ac:dyDescent="0.25">
      <c r="A13" t="s">
        <v>72</v>
      </c>
      <c r="B13" s="18">
        <f>B11+B12</f>
        <v>18578468494.99552</v>
      </c>
    </row>
    <row r="14" spans="1:2" x14ac:dyDescent="0.25">
      <c r="A14" s="19" t="s">
        <v>73</v>
      </c>
      <c r="B14" s="24">
        <f>B13/Assumptions!B31</f>
        <v>174.1187300374463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2306895948.5550394</v>
      </c>
    </row>
    <row r="18" spans="1:2" x14ac:dyDescent="0.25">
      <c r="A18" t="s">
        <v>68</v>
      </c>
      <c r="B18" s="18">
        <f>B17*Assumptions!B13</f>
        <v>25384027304.607628</v>
      </c>
    </row>
    <row r="19" spans="1:2" x14ac:dyDescent="0.25">
      <c r="A19" t="s">
        <v>69</v>
      </c>
      <c r="B19" s="18">
        <f>B18/(1+Assumptions!B26)^(10-0.5*Assumptions!B32)</f>
        <v>14325237644.947165</v>
      </c>
    </row>
    <row r="20" spans="1:2" x14ac:dyDescent="0.25">
      <c r="A20" t="s">
        <v>70</v>
      </c>
      <c r="B20" s="18">
        <f>Forecast!B17+B19</f>
        <v>22963366906.506992</v>
      </c>
    </row>
    <row r="21" spans="1:2" x14ac:dyDescent="0.25">
      <c r="A21" t="s">
        <v>71</v>
      </c>
      <c r="B21" s="18">
        <f>-Assumptions!B30</f>
        <v>-7030400000</v>
      </c>
    </row>
    <row r="22" spans="1:2" x14ac:dyDescent="0.25">
      <c r="A22" t="s">
        <v>72</v>
      </c>
      <c r="B22" s="18">
        <f>B20+B21</f>
        <v>15932966906.506992</v>
      </c>
    </row>
    <row r="23" spans="1:2" x14ac:dyDescent="0.25">
      <c r="A23" s="19" t="s">
        <v>73</v>
      </c>
      <c r="B23" s="25">
        <f>B22/Assumptions!B31</f>
        <v>149.32490071702898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129.9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174.1187300374463</v>
      </c>
    </row>
    <row r="29" spans="1:2" x14ac:dyDescent="0.25">
      <c r="A29" s="19" t="s">
        <v>81</v>
      </c>
      <c r="B29" s="11">
        <f>B28/B26-1</f>
        <v>0.34040592792491386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0.042071</v>
      </c>
      <c r="B5" s="31">
        <v>331.8861915725837</v>
      </c>
      <c r="C5" s="31">
        <v>371.6154915219644</v>
      </c>
      <c r="D5" s="31">
        <v>436.1138335948165</v>
      </c>
      <c r="E5" s="31">
        <v>556.1604102235877</v>
      </c>
      <c r="F5" s="31">
        <v>849.5919514802324</v>
      </c>
    </row>
    <row r="6" spans="1:6" x14ac:dyDescent="0.25">
      <c r="A6" s="30">
        <v>0.052071</v>
      </c>
      <c r="B6" s="31">
        <v>226.72207582316443</v>
      </c>
      <c r="C6" s="31">
        <v>239.0702678667344</v>
      </c>
      <c r="D6" s="31">
        <v>256.8702289176882</v>
      </c>
      <c r="E6" s="31">
        <v>283.8271166540089</v>
      </c>
      <c r="F6" s="31">
        <v>327.9869682311356</v>
      </c>
    </row>
    <row r="7" spans="1:6" x14ac:dyDescent="0.25">
      <c r="A7" s="30">
        <v>0.062071</v>
      </c>
      <c r="B7" s="31">
        <v>166.19355488117637</v>
      </c>
      <c r="C7" s="31">
        <v>169.41458462769913</v>
      </c>
      <c r="D7" s="32">
        <v>174.11866912535942</v>
      </c>
      <c r="E7" s="31">
        <v>180.99945126858105</v>
      </c>
      <c r="F7" s="31">
        <v>191.2630359180421</v>
      </c>
    </row>
    <row r="8" spans="1:6" x14ac:dyDescent="0.25">
      <c r="A8" s="30">
        <v>0.072071</v>
      </c>
      <c r="B8" s="31">
        <v>126.84091356759211</v>
      </c>
      <c r="C8" s="31">
        <v>126.4235220128733</v>
      </c>
      <c r="D8" s="31">
        <v>126.37477292311657</v>
      </c>
      <c r="E8" s="31">
        <v>126.8261021323748</v>
      </c>
      <c r="F8" s="31">
        <v>127.97985580032048</v>
      </c>
    </row>
    <row r="9" spans="1:6" x14ac:dyDescent="0.25">
      <c r="A9" s="30">
        <v>0.082071</v>
      </c>
      <c r="B9" s="31">
        <v>99.19509121032114</v>
      </c>
      <c r="C9" s="31">
        <v>97.21568220793151</v>
      </c>
      <c r="D9" s="31">
        <v>95.24636637184905</v>
      </c>
      <c r="E9" s="31">
        <v>93.29005122247122</v>
      </c>
      <c r="F9" s="31">
        <v>91.35087965671049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9050900000</v>
      </c>
      <c r="C5" s="18">
        <v>8726100000</v>
      </c>
      <c r="D5" s="18">
        <v>8178700000</v>
      </c>
      <c r="E5" s="18">
        <v>8529200000</v>
      </c>
      <c r="F5" s="6" t="s">
        <v>91</v>
      </c>
    </row>
    <row r="6" spans="1:6" x14ac:dyDescent="0.25">
      <c r="A6" t="s">
        <v>51</v>
      </c>
      <c r="B6" s="18">
        <v>1343000000</v>
      </c>
      <c r="C6" s="18">
        <v>1654500000</v>
      </c>
      <c r="D6" s="18">
        <v>1448900000</v>
      </c>
      <c r="E6" s="18">
        <v>1180700000</v>
      </c>
      <c r="F6" s="6" t="s">
        <v>92</v>
      </c>
    </row>
    <row r="7" spans="1:6" x14ac:dyDescent="0.25">
      <c r="A7" t="s">
        <v>93</v>
      </c>
      <c r="B7" s="18">
        <v>557000000</v>
      </c>
      <c r="C7" s="18">
        <v>502500000</v>
      </c>
      <c r="D7" s="18">
        <v>430800000</v>
      </c>
      <c r="E7" s="18">
        <v>431000000</v>
      </c>
      <c r="F7" s="6" t="s">
        <v>94</v>
      </c>
    </row>
    <row r="8" spans="1:6" x14ac:dyDescent="0.25">
      <c r="A8" t="s">
        <v>95</v>
      </c>
      <c r="B8" s="18">
        <v>317400000</v>
      </c>
      <c r="C8" s="18">
        <v>393800000</v>
      </c>
      <c r="D8" s="18">
        <v>586500000</v>
      </c>
      <c r="E8" s="18">
        <v>477400000</v>
      </c>
      <c r="F8" s="6" t="s">
        <v>96</v>
      </c>
    </row>
    <row r="9" spans="1:6" x14ac:dyDescent="0.25">
      <c r="A9" t="s">
        <v>97</v>
      </c>
      <c r="B9" s="18">
        <v>-89600000</v>
      </c>
      <c r="C9" s="18">
        <v>284800000</v>
      </c>
      <c r="D9" s="18">
        <v>8300000</v>
      </c>
      <c r="E9" s="18">
        <v>-38900000</v>
      </c>
      <c r="F9" s="6" t="s">
        <v>98</v>
      </c>
    </row>
    <row r="10" spans="1:6" x14ac:dyDescent="0.25">
      <c r="A10" t="s">
        <v>99</v>
      </c>
      <c r="B10" s="18">
        <v>7089000000</v>
      </c>
      <c r="C10" s="18">
        <v>7761700000</v>
      </c>
      <c r="D10" s="18">
        <v>8507500000</v>
      </c>
      <c r="E10" s="18">
        <v>4424600000</v>
      </c>
      <c r="F10" s="6" t="s">
        <v>100</v>
      </c>
    </row>
    <row r="11" spans="1:6" x14ac:dyDescent="0.25">
      <c r="A11" t="s">
        <v>101</v>
      </c>
      <c r="B11" s="18">
        <v>58600000</v>
      </c>
      <c r="C11" s="18">
        <v>69900000</v>
      </c>
      <c r="D11" s="18">
        <v>62000000</v>
      </c>
      <c r="E11" s="18">
        <v>1143600000</v>
      </c>
      <c r="F11" s="6" t="s">
        <v>102</v>
      </c>
    </row>
    <row r="12" spans="1:6" x14ac:dyDescent="0.25">
      <c r="A12" t="s">
        <v>34</v>
      </c>
      <c r="B12" s="34">
        <v>106700000</v>
      </c>
      <c r="C12" s="34">
        <v>106400000</v>
      </c>
      <c r="D12" s="34">
        <v>104400000</v>
      </c>
      <c r="E12" s="34">
        <v>106200000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