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<sst xmlns="http://schemas.openxmlformats.org/spreadsheetml/2006/main" count="114" uniqueCount="102">
  <si>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Skellerup Holdings Limited (SKL.NZ)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</si>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</sst>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0.053566844313628126</v>
      </c>
    </row>
    <row r="7" spans="1:2" x14ac:dyDescent="0.25">
      <c r="A7" t="s">
        <v>5</v>
      </c>
      <c r="B7" s="6">
        <v>0.17190504974082313</v>
      </c>
    </row>
    <row r="8" spans="1:2" x14ac:dyDescent="0.25">
      <c r="A8" t="s">
        <v>6</v>
      </c>
      <c r="B8" s="6">
        <v>0.2611092738382905</v>
      </c>
    </row>
    <row r="9" spans="1:2" x14ac:dyDescent="0.25">
      <c r="A9" t="s">
        <v>7</v>
      </c>
      <c r="B9" s="6">
        <v>0.04712284722975048</v>
      </c>
    </row>
    <row r="10" spans="1:2" x14ac:dyDescent="0.25">
      <c r="A10" t="s">
        <v>8</v>
      </c>
      <c r="B10" s="6">
        <v>0.02951029124303412</v>
      </c>
    </row>
    <row r="11" spans="1:2" x14ac:dyDescent="0.25">
      <c r="A11" t="s">
        <v>9</v>
      </c>
      <c r="B11" s="6">
        <v>0.27655021834061133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17.139971405067836</v>
      </c>
    </row>
    <row r="14" spans="1:3" x14ac:dyDescent="0.25">
      <c r="A14" t="s">
        <v>12</v>
      </c>
      <c r="B14" s="6">
        <v>0.1637385206466587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0.64557</v>
      </c>
      <c r="C19" s="8" t="s">
        <v>19</v>
      </c>
    </row>
    <row r="20" spans="1:2" x14ac:dyDescent="0.25">
      <c r="A20" t="s">
        <v>20</v>
      </c>
      <c r="B20" s="10">
        <f>B17+B19*B18</f>
        <v>0.08696205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1450929792</v>
      </c>
    </row>
    <row r="23" spans="1:2" x14ac:dyDescent="0.25">
      <c r="A23" t="s">
        <v>24</v>
      </c>
      <c r="B23" s="11">
        <v>48433000</v>
      </c>
    </row>
    <row r="24" spans="1:2" x14ac:dyDescent="0.25">
      <c r="A24" t="s">
        <v>25</v>
      </c>
      <c r="B24" s="10">
        <f>B22/(B22+B23)</f>
        <v>0.9676976111062519</v>
      </c>
    </row>
    <row r="25" spans="1:2" x14ac:dyDescent="0.25">
      <c r="A25" t="s">
        <v>26</v>
      </c>
      <c r="B25" s="10">
        <f>1-B24</f>
        <v>0.032302388893748146</v>
      </c>
    </row>
    <row r="26" spans="1:2" x14ac:dyDescent="0.25">
      <c r="A26" t="s">
        <v>27</v>
      </c>
      <c r="B26" s="12">
        <f>B24*B20+B25*B21*(1-B8)</f>
        <v>0.08522702514329311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390059000</v>
      </c>
      <c r="C29" s="8" t="s">
        <v>30</v>
      </c>
    </row>
    <row r="30" spans="1:2" x14ac:dyDescent="0.25">
      <c r="A30" t="s">
        <v>31</v>
      </c>
      <c r="B30" s="11">
        <v>28404000</v>
      </c>
    </row>
    <row r="31" spans="1:2" x14ac:dyDescent="0.25">
      <c r="A31" t="s">
        <v>32</v>
      </c>
      <c r="B31" s="13">
        <v>197833967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0.053566844313628126</v>
      </c>
      <c r="C5" s="10">
        <f>Assumptions!B6</f>
        <v>0.053566844313628126</v>
      </c>
      <c r="D5" s="10">
        <f>Assumptions!B6</f>
        <v>0.053566844313628126</v>
      </c>
      <c r="E5" s="10">
        <f>Assumptions!B6</f>
        <v>0.053566844313628126</v>
      </c>
      <c r="F5" s="10">
        <f>Assumptions!B6</f>
        <v>0.053566844313628126</v>
      </c>
    </row>
    <row r="6" spans="1:6" x14ac:dyDescent="0.25">
      <c r="A6" t="s">
        <v>43</v>
      </c>
      <c r="B6" s="18">
        <f>Assumptions!B29*(1+B5)</f>
        <v>410953229.7261295</v>
      </c>
      <c r="C6" s="18">
        <f>B6*(1+C5)</f>
        <v>432966697.4030517</v>
      </c>
      <c r="D6" s="18">
        <f>C6*(1+D5)</f>
        <v>456159357.0758267</v>
      </c>
      <c r="E6" s="18">
        <f>D6*(1+E5)</f>
        <v>480594374.33851224</v>
      </c>
      <c r="F6" s="18">
        <f>E6*(1+F5)</f>
        <v>506338298.3667088</v>
      </c>
    </row>
    <row r="7" spans="1:6" x14ac:dyDescent="0.25">
      <c r="A7" t="s">
        <v>5</v>
      </c>
      <c r="B7" s="10">
        <f>Assumptions!B7</f>
        <v>0.17190504974082313</v>
      </c>
      <c r="C7" s="10">
        <f>Assumptions!B7</f>
        <v>0.17190504974082313</v>
      </c>
      <c r="D7" s="10">
        <f>Assumptions!B7</f>
        <v>0.17190504974082313</v>
      </c>
      <c r="E7" s="10">
        <f>Assumptions!B7</f>
        <v>0.17190504974082313</v>
      </c>
      <c r="F7" s="10">
        <f>Assumptions!B7</f>
        <v>0.17190504974082313</v>
      </c>
    </row>
    <row r="8" spans="1:6" x14ac:dyDescent="0.25">
      <c r="A8" t="s">
        <v>44</v>
      </c>
      <c r="B8" s="18">
        <f>B6*B7</f>
        <v>70644935.3972222</v>
      </c>
      <c r="C8" s="18">
        <f>C6*C7</f>
        <v>74429161.65319152</v>
      </c>
      <c r="D8" s="18">
        <f>D6*D7</f>
        <v>78416096.96786189</v>
      </c>
      <c r="E8" s="18">
        <f>E6*E7</f>
        <v>82616599.82582171</v>
      </c>
      <c r="F8" s="18">
        <f>F6*F7</f>
        <v>87042110.36641282</v>
      </c>
    </row>
    <row r="9" spans="1:6" x14ac:dyDescent="0.25">
      <c r="A9" t="s">
        <v>45</v>
      </c>
      <c r="B9" s="18">
        <f>B8*(1-Assumptions!B8)</f>
        <v>52198887.61530057</v>
      </c>
      <c r="C9" s="18">
        <f>C8*(1-Assumptions!B8)</f>
        <v>54995017.301533945</v>
      </c>
      <c r="D9" s="18">
        <f>D8*(1-Assumptions!B8)</f>
        <v>57940926.8313505</v>
      </c>
      <c r="E9" s="18">
        <f>E8*(1-Assumptions!B8)</f>
        <v>61044639.43831277</v>
      </c>
      <c r="F9" s="18">
        <f>F8*(1-Assumptions!B8)</f>
        <v>64314608.13528643</v>
      </c>
    </row>
    <row r="10" spans="1:6" x14ac:dyDescent="0.25">
      <c r="A10" t="s">
        <v>46</v>
      </c>
      <c r="B10" s="18">
        <f>B6*Assumptions!B9</f>
        <v>19365286.26295695</v>
      </c>
      <c r="C10" s="18">
        <f>C6*Assumptions!B9</f>
        <v>20402623.537293606</v>
      </c>
      <c r="D10" s="18">
        <f>D6*Assumptions!B9</f>
        <v>21495527.69590538</v>
      </c>
      <c r="E10" s="18">
        <f>E6*Assumptions!B9</f>
        <v>22646975.281431224</v>
      </c>
      <c r="F10" s="18">
        <f>F6*Assumptions!B9</f>
        <v>23860102.280506235</v>
      </c>
    </row>
    <row r="11" spans="1:6" x14ac:dyDescent="0.25">
      <c r="A11" t="s">
        <v>47</v>
      </c>
      <c r="B11" s="18">
        <f>-B6*Assumptions!B10</f>
        <v>-12127349.496483589</v>
      </c>
      <c r="C11" s="18">
        <f>-C6*Assumptions!B10</f>
        <v>-12776973.338898681</v>
      </c>
      <c r="D11" s="18">
        <f>-D6*Assumptions!B10</f>
        <v>-13461395.480542844</v>
      </c>
      <c r="E11" s="18">
        <f>-E6*Assumptions!B10</f>
        <v>-14182479.95649326</v>
      </c>
      <c r="F11" s="18">
        <f>-F6*Assumptions!B10</f>
        <v>-14942190.652303886</v>
      </c>
    </row>
    <row r="12" spans="1:6" x14ac:dyDescent="0.25">
      <c r="A12" t="s">
        <v>48</v>
      </c>
      <c r="B12" s="18">
        <f>-(B6-Assumptions!B29)*Assumptions!B11</f>
        <v>-5778303.792819997</v>
      </c>
      <c r="C12" s="18">
        <f>-(C6-B6)*Assumptions!B11</f>
        <v>-6087829.292486825</v>
      </c>
      <c r="D12" s="18">
        <f>-(D6-C6)*Assumptions!B11</f>
        <v>-6413935.096405426</v>
      </c>
      <c r="E12" s="18">
        <f>-(E6-D6)*Assumptions!B11</f>
        <v>-6757509.359152293</v>
      </c>
      <c r="F12" s="18">
        <f>-(F6-E6)*Assumptions!B11</f>
        <v>-7119487.810941873</v>
      </c>
    </row>
    <row r="13" spans="1:6" x14ac:dyDescent="0.25">
      <c r="A13" s="19" t="s">
        <v>49</v>
      </c>
      <c r="B13" s="20">
        <f>B9+B10+B11+B12</f>
        <v>53658520.58895394</v>
      </c>
      <c r="C13" s="20">
        <f>C9+C10+C11+C12</f>
        <v>56532838.207442045</v>
      </c>
      <c r="D13" s="20">
        <f>D9+D10+D11+D12</f>
        <v>59561123.95030761</v>
      </c>
      <c r="E13" s="20">
        <f>E9+E10+E11+E12</f>
        <v>62751625.40409844</v>
      </c>
      <c r="F13" s="20">
        <f>F9+F10+F11+F12</f>
        <v>66113031.952546895</v>
      </c>
    </row>
    <row r="14" spans="1:6" x14ac:dyDescent="0.25">
      <c r="A14" t="s">
        <v>50</v>
      </c>
      <c r="B14" s="21">
        <f>1/(1+Assumptions!$B$26)^(1-0.5*Assumptions!$B$32)</f>
        <v>0.9599302989331445</v>
      </c>
      <c r="C14" s="21">
        <f>1/(1+Assumptions!$B$26)^(2-0.5*Assumptions!$B$32)</f>
        <v>0.8845433044817471</v>
      </c>
      <c r="D14" s="21">
        <f>1/(1+Assumptions!$B$26)^(3-0.5*Assumptions!$B$32)</f>
        <v>0.8150767387726566</v>
      </c>
      <c r="E14" s="21">
        <f>1/(1+Assumptions!$B$26)^(4-0.5*Assumptions!$B$32)</f>
        <v>0.7510656479136556</v>
      </c>
      <c r="F14" s="21">
        <f>1/(1+Assumptions!$B$26)^(5-0.5*Assumptions!$B$32)</f>
        <v>0.6920815926183603</v>
      </c>
    </row>
    <row r="15" spans="1:6" x14ac:dyDescent="0.25">
      <c r="A15" s="19" t="s">
        <v>51</v>
      </c>
      <c r="B15" s="20">
        <f>B13*B14</f>
        <v>51508439.709264845</v>
      </c>
      <c r="C15" s="20">
        <f>C13*C14</f>
        <v>50005743.51974276</v>
      </c>
      <c r="D15" s="20">
        <f>D13*D14</f>
        <v>48546886.6670507</v>
      </c>
      <c r="E15" s="20">
        <f>E13*E14</f>
        <v>47130590.191764206</v>
      </c>
      <c r="F15" s="20">
        <f>F13*F14</f>
        <v>45755612.4465472</v>
      </c>
    </row>
    <row r="17" spans="1:2" x14ac:dyDescent="0.25">
      <c r="A17" s="22" t="s">
        <v>52</v>
      </c>
      <c r="B17" s="23">
        <f>SUM(B15:F15)</f>
        <v>242947272.5343697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66113031.952546895</v>
      </c>
    </row>
    <row r="5" spans="1:2" x14ac:dyDescent="0.25">
      <c r="A5" t="s">
        <v>56</v>
      </c>
      <c r="B5" s="18">
        <f>IF(Assumptions!$B$33=0,B4,B4-Forecast!F11-Forecast!F10-Forecast!F12)</f>
        <v>64314608.13528643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0.15268245921159274</v>
      </c>
    </row>
    <row r="7" spans="1:2" x14ac:dyDescent="0.25">
      <c r="A7" t="s">
        <v>58</v>
      </c>
      <c r="B7" s="18">
        <f>-MAX(Forecast!F9,0)*B6</f>
        <v>-9819712.533325441</v>
      </c>
    </row>
    <row r="8" spans="1:2" x14ac:dyDescent="0.25">
      <c r="A8" t="s">
        <v>59</v>
      </c>
      <c r="B8" s="18">
        <f>IF(OR(Assumptions!$B$33=0,Assumptions!B12&lt;=0),B5,MAX(B5+B7,0))</f>
        <v>54494895.60196099</v>
      </c>
    </row>
    <row r="9" spans="1:2" x14ac:dyDescent="0.25">
      <c r="A9" t="s">
        <v>60</v>
      </c>
      <c r="B9" s="18">
        <f>B8*(1+Assumptions!B12)/(Assumptions!B26-Assumptions!B12)</f>
        <v>927445243.3789232</v>
      </c>
    </row>
    <row r="10" spans="1:2" x14ac:dyDescent="0.25">
      <c r="A10" t="s">
        <v>61</v>
      </c>
      <c r="B10" s="18">
        <f>B9/(1+Assumptions!B26)^(5-0.5*Assumptions!B32)</f>
        <v>641867781.104008</v>
      </c>
    </row>
    <row r="11" spans="1:2" x14ac:dyDescent="0.25">
      <c r="A11" t="s">
        <v>62</v>
      </c>
      <c r="B11" s="18">
        <f>Forecast!B17+B10</f>
        <v>884815053.6383777</v>
      </c>
    </row>
    <row r="12" spans="1:2" x14ac:dyDescent="0.25">
      <c r="A12" t="s">
        <v>63</v>
      </c>
      <c r="B12" s="18">
        <f>-Assumptions!B30</f>
        <v>-28404000</v>
      </c>
    </row>
    <row r="13" spans="1:2" x14ac:dyDescent="0.25">
      <c r="A13" t="s">
        <v>64</v>
      </c>
      <c r="B13" s="18">
        <f>B11+B12</f>
        <v>856411053.6383777</v>
      </c>
    </row>
    <row r="14" spans="1:2" x14ac:dyDescent="0.25">
      <c r="A14" s="19" t="s">
        <v>65</v>
      </c>
      <c r="B14" s="24">
        <f>B13/Assumptions!B31</f>
        <v>4.328938385178202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110902212.64691906</v>
      </c>
    </row>
    <row r="18" spans="1:2" x14ac:dyDescent="0.25">
      <c r="A18" t="s">
        <v>60</v>
      </c>
      <c r="B18" s="18">
        <f>B17*Assumptions!B13</f>
        <v>1900860753.526945</v>
      </c>
    </row>
    <row r="19" spans="1:2" x14ac:dyDescent="0.25">
      <c r="A19" t="s">
        <v>61</v>
      </c>
      <c r="B19" s="18">
        <f>B18/(1+Assumptions!B26)^(5-0.5*Assumptions!B32)</f>
        <v>1315550737.6466646</v>
      </c>
    </row>
    <row r="20" spans="1:2" x14ac:dyDescent="0.25">
      <c r="A20" t="s">
        <v>62</v>
      </c>
      <c r="B20" s="18">
        <f>Forecast!B17+B19</f>
        <v>1558498010.1810343</v>
      </c>
    </row>
    <row r="21" spans="1:2" x14ac:dyDescent="0.25">
      <c r="A21" t="s">
        <v>63</v>
      </c>
      <c r="B21" s="18">
        <f>-Assumptions!B30</f>
        <v>-28404000</v>
      </c>
    </row>
    <row r="22" spans="1:2" x14ac:dyDescent="0.25">
      <c r="A22" t="s">
        <v>64</v>
      </c>
      <c r="B22" s="18">
        <f>B20+B21</f>
        <v>1530094010.1810343</v>
      </c>
    </row>
    <row r="23" spans="1:2" x14ac:dyDescent="0.25">
      <c r="A23" s="19" t="s">
        <v>65</v>
      </c>
      <c r="B23" s="25">
        <f>B22/Assumptions!B31</f>
        <v>7.734233071214885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4.328938385178202</v>
      </c>
    </row>
    <row r="29" spans="1:2" x14ac:dyDescent="0.25">
      <c r="A29" s="19" t="s">
        <v>73</v>
      </c>
      <c r="B29" s="12">
        <f>B28/B26-1</f>
        <v>-0.41500832632727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0.065227</v>
      </c>
      <c r="B5" s="31">
        <v>5.632712151163197</v>
      </c>
      <c r="C5" s="31">
        <v>5.985272420046968</v>
      </c>
      <c r="D5" s="31">
        <v>6.423618347021796</v>
      </c>
      <c r="E5" s="31">
        <v>6.984278301558992</v>
      </c>
      <c r="F5" s="31">
        <v>7.727950017917182</v>
      </c>
    </row>
    <row r="6" spans="1:6" x14ac:dyDescent="0.25">
      <c r="A6" s="30">
        <v>0.075227</v>
      </c>
      <c r="B6" s="31">
        <v>4.703550483456314</v>
      </c>
      <c r="C6" s="31">
        <v>4.915656839261512</v>
      </c>
      <c r="D6" s="31">
        <v>5.168566677026837</v>
      </c>
      <c r="E6" s="31">
        <v>5.4758128914700865</v>
      </c>
      <c r="F6" s="31">
        <v>5.85765664176716</v>
      </c>
    </row>
    <row r="7" spans="1:6" x14ac:dyDescent="0.25">
      <c r="A7" s="30">
        <v>0.085227</v>
      </c>
      <c r="B7" s="31">
        <v>4.038394276274789</v>
      </c>
      <c r="C7" s="31">
        <v>4.173057917789998</v>
      </c>
      <c r="D7" s="32">
        <v>4.3289401473800435</v>
      </c>
      <c r="E7" s="31">
        <v>4.511804066808965</v>
      </c>
      <c r="F7" s="31">
        <v>4.72970760005357</v>
      </c>
    </row>
    <row r="8" spans="1:6" x14ac:dyDescent="0.25">
      <c r="A8" s="30">
        <v>0.095227</v>
      </c>
      <c r="B8" s="31">
        <v>3.538553839996868</v>
      </c>
      <c r="C8" s="31">
        <v>3.6271122869717125</v>
      </c>
      <c r="D8" s="31">
        <v>3.727342285958835</v>
      </c>
      <c r="E8" s="31">
        <v>3.841927898469332</v>
      </c>
      <c r="F8" s="31">
        <v>3.9744445010428016</v>
      </c>
    </row>
    <row r="9" spans="1:6" x14ac:dyDescent="0.25">
      <c r="A9" s="30">
        <v>0.105227</v>
      </c>
      <c r="B9" s="31">
        <v>3.1490891897873894</v>
      </c>
      <c r="C9" s="31">
        <v>3.208637685260163</v>
      </c>
      <c r="D9" s="31">
        <v>3.2748198653941674</v>
      </c>
      <c r="E9" s="31">
        <v>3.3489584636483802</v>
      </c>
      <c r="F9" s="31">
        <v>3.4327529157356063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390059000</v>
      </c>
      <c r="C5" s="18">
        <v>353478000</v>
      </c>
      <c r="D5" s="18">
        <v>330578000</v>
      </c>
      <c r="E5" s="18">
        <v>333537000</v>
      </c>
      <c r="F5" s="8" t="s">
        <v>84</v>
      </c>
    </row>
    <row r="6" spans="1:6" x14ac:dyDescent="0.25">
      <c r="A6" t="s">
        <v>44</v>
      </c>
      <c r="B6" s="18">
        <v>67938000</v>
      </c>
      <c r="C6" s="18">
        <v>60913000</v>
      </c>
      <c r="D6" s="18">
        <v>56502000</v>
      </c>
      <c r="E6" s="18">
        <v>56769000</v>
      </c>
      <c r="F6" s="8" t="s">
        <v>85</v>
      </c>
    </row>
    <row r="7" spans="1:6" x14ac:dyDescent="0.25">
      <c r="A7" t="s">
        <v>86</v>
      </c>
      <c r="B7" s="18">
        <v>18371000</v>
      </c>
      <c r="C7" s="18">
        <v>16907000</v>
      </c>
      <c r="D7" s="18">
        <v>15832000</v>
      </c>
      <c r="E7" s="18">
        <v>15233000</v>
      </c>
      <c r="F7" s="8" t="s">
        <v>87</v>
      </c>
    </row>
    <row r="8" spans="1:6" x14ac:dyDescent="0.25">
      <c r="A8" t="s">
        <v>88</v>
      </c>
      <c r="B8" s="18">
        <v>15102000</v>
      </c>
      <c r="C8" s="18">
        <v>9201000</v>
      </c>
      <c r="D8" s="18">
        <v>9444000</v>
      </c>
      <c r="E8" s="18">
        <v>8247000</v>
      </c>
      <c r="F8" s="8" t="s">
        <v>89</v>
      </c>
    </row>
    <row r="9" spans="1:6" x14ac:dyDescent="0.25">
      <c r="A9" t="s">
        <v>90</v>
      </c>
      <c r="B9" s="18">
        <v>7374000</v>
      </c>
      <c r="C9" s="18">
        <v>6333000</v>
      </c>
      <c r="D9" s="18">
        <v>-2051000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48433000</v>
      </c>
      <c r="C10" s="18">
        <v>58782000</v>
      </c>
      <c r="D10" s="18">
        <v>61049000</v>
      </c>
      <c r="E10" s="18">
        <v>77636000</v>
      </c>
      <c r="F10" s="8" t="s">
        <v>93</v>
      </c>
    </row>
    <row r="11" spans="1:6" x14ac:dyDescent="0.25">
      <c r="A11" t="s">
        <v>94</v>
      </c>
      <c r="B11" s="18">
        <v>20029000</v>
      </c>
      <c r="C11" s="18">
        <v>15588000</v>
      </c>
      <c r="D11" s="18">
        <v>16629000</v>
      </c>
      <c r="E11" s="18">
        <v>17094000</v>
      </c>
      <c r="F11" s="8" t="s">
        <v>95</v>
      </c>
    </row>
    <row r="12" spans="1:6" x14ac:dyDescent="0.25">
      <c r="A12" t="s">
        <v>32</v>
      </c>
      <c r="B12" s="34">
        <v>197833967</v>
      </c>
      <c r="C12" s="34">
        <v>196785714</v>
      </c>
      <c r="D12" s="34">
        <v>196863980</v>
      </c>
      <c r="E12" s="34">
        <v>197292796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