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<sst xmlns="http://schemas.openxmlformats.org/spreadsheetml/2006/main" count="114" uniqueCount="102">
  <si>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SKY Network Television Limited (SKT.NZ)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</si>
  <si>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</si>
  <si>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</si>
  <si>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</si>
  <si>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</si>
  <si>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</si>
  <si>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</si>
  <si>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</si>
  <si>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</si>
  <si>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</si>
  <si>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</si>
  <si>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</si>
  <si>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</si>
  <si>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</si>
  <si>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</si>
  <si>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</si>
  <si>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NZD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</si>
  <si>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</si>
  <si>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</si>
  <si>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</si>
  <si>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</si>
  <si>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</si>
  <si>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</si>
  <si>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</si>
  <si>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</si>
  <si>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</si>
  <si>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</si>
  <si>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</si>
  <si>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</si>
  <si>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</si>
  <si>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2026-06-30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</si>
  <si>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</si>
  <si>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</si>
  <si>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</si>
  <si>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</si>
  <si>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</si>
  <si>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</si>
  <si>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</si>
  <si>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</si>
  <si>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</si>
  <si>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</si>
  <si>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</si>
  <si>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</si>
  <si>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</si>
  <si>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</si>
  <si>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</si>
  <si>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</si>
  <si>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</si>
  <si>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</si>
  <si>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</si>
  <si>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</si>
  <si>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</si>
  <si>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</si>
  <si>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</si>
  <si>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</si>
  <si>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</si>
  <si>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</si>
  <si>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</si>
  <si>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</si>
  <si>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</si>
  <si>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</si>
  <si>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</si>
  <si>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</si>
  <si>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</si>
  <si>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</si>
  <si>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</si>
  <si>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</si>
  <si>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</si>
  <si>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</si>
  <si>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(NZD)</t>
  </si>
  <si>
    <t>Conversion, NZD to NZD</t>
  </si>
  <si>
    <t>Same currency, no conversion</t>
  </si>
  <si>
    <t>Value per share (NZD)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</si>
  <si>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</si>
  <si>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</si>
  <si>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</si>
  <si>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</si>
  <si>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</si>
  <si>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</si>
  <si>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</si>
  <si>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</si>
  <si>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</si>
  <si>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</si>
  <si>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</si>
  <si>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</si>
  <si>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</si>
  <si>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</si>
  <si>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</si>
  <si>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</si>
  <si>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</si>
  <si>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</si>
  <si>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</si>
  <si>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</si>
  <si>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</si>
  <si>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</si>
  <si>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</si>
  <si>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</si>
  <si>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</si>
  <si>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</si>
  <si>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Consensus rests on as few as 2 analyst estimate(s).</t>
  </si>
  <si>
    <t>Note: Risk-free rate is an assumption: NZD assumption - no free live source available for this market.</t>
  </si>
  <si>
    <t>Data: Yahoo Finance. Risk-free rate: NZD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</si>
</sst>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0.030341363522007114</v>
      </c>
    </row>
    <row r="7" spans="1:2" x14ac:dyDescent="0.25">
      <c r="A7" t="s">
        <v>5</v>
      </c>
      <c r="B7" s="6">
        <v>0.06422008007426364</v>
      </c>
    </row>
    <row r="8" spans="1:2" x14ac:dyDescent="0.25">
      <c r="A8" t="s">
        <v>6</v>
      </c>
      <c r="B8" s="6">
        <v>0.28</v>
      </c>
    </row>
    <row r="9" spans="1:2" x14ac:dyDescent="0.25">
      <c r="A9" t="s">
        <v>7</v>
      </c>
      <c r="B9" s="6">
        <v>0.11041392147329399</v>
      </c>
    </row>
    <row r="10" spans="1:2" x14ac:dyDescent="0.25">
      <c r="A10" t="s">
        <v>8</v>
      </c>
      <c r="B10" s="6">
        <v>0.09770191550435149</v>
      </c>
    </row>
    <row r="11" spans="1:2" x14ac:dyDescent="0.25">
      <c r="A11" t="s">
        <v>9</v>
      </c>
      <c r="B11" s="6">
        <v>0.07560508351096841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3.4474225369534293</v>
      </c>
    </row>
    <row r="14" spans="1:3" x14ac:dyDescent="0.25">
      <c r="A14" t="s">
        <v>12</v>
      </c>
      <c r="B14" s="6">
        <v>0.08160228073933869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0.6382</v>
      </c>
      <c r="C19" s="8" t="s">
        <v>19</v>
      </c>
    </row>
    <row r="20" spans="1:2" x14ac:dyDescent="0.25">
      <c r="A20" t="s">
        <v>20</v>
      </c>
      <c r="B20" s="10">
        <f>B17+B19*B18</f>
        <v>0.086483</v>
      </c>
    </row>
    <row r="21" spans="1:3" x14ac:dyDescent="0.25">
      <c r="A21" t="s">
        <v>21</v>
      </c>
      <c r="B21" s="6">
        <v>0.04959913534641665</v>
      </c>
      <c r="C21" s="8" t="s">
        <v>22</v>
      </c>
    </row>
    <row r="22" spans="1:2" x14ac:dyDescent="0.25">
      <c r="A22" t="s">
        <v>23</v>
      </c>
      <c r="B22" s="11">
        <v>462588000</v>
      </c>
    </row>
    <row r="23" spans="1:2" x14ac:dyDescent="0.25">
      <c r="A23" t="s">
        <v>24</v>
      </c>
      <c r="B23" s="11">
        <v>62483000</v>
      </c>
    </row>
    <row r="24" spans="1:2" x14ac:dyDescent="0.25">
      <c r="A24" t="s">
        <v>25</v>
      </c>
      <c r="B24" s="10">
        <f>B22/(B22+B23)</f>
        <v>0.8810008551224501</v>
      </c>
    </row>
    <row r="25" spans="1:2" x14ac:dyDescent="0.25">
      <c r="A25" t="s">
        <v>26</v>
      </c>
      <c r="B25" s="10">
        <f>1-B24</f>
        <v>0.11899914487754992</v>
      </c>
    </row>
    <row r="26" spans="1:2" x14ac:dyDescent="0.25">
      <c r="A26" t="s">
        <v>27</v>
      </c>
      <c r="B26" s="12">
        <f>B24*B20+B25*B21*(1-B8)</f>
        <v>0.08044122033243525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824845000</v>
      </c>
      <c r="C29" s="8" t="s">
        <v>30</v>
      </c>
    </row>
    <row r="30" spans="1:2" x14ac:dyDescent="0.25">
      <c r="A30" t="s">
        <v>31</v>
      </c>
      <c r="B30" s="11">
        <v>-16657000</v>
      </c>
    </row>
    <row r="31" spans="1:2" x14ac:dyDescent="0.25">
      <c r="A31" t="s">
        <v>32</v>
      </c>
      <c r="B31" s="13">
        <v>138597106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0.030341363522007114</v>
      </c>
      <c r="C5" s="10">
        <f>Assumptions!B6</f>
        <v>0.030341363522007114</v>
      </c>
      <c r="D5" s="10">
        <f>Assumptions!B6</f>
        <v>0.030341363522007114</v>
      </c>
      <c r="E5" s="10">
        <f>Assumptions!B6</f>
        <v>0.030341363522007114</v>
      </c>
      <c r="F5" s="10">
        <f>Assumptions!B6</f>
        <v>0.030341363522007114</v>
      </c>
    </row>
    <row r="6" spans="1:6" x14ac:dyDescent="0.25">
      <c r="A6" t="s">
        <v>43</v>
      </c>
      <c r="B6" s="18">
        <f>Assumptions!B29*(1+B5)</f>
        <v>849871921.9943099</v>
      </c>
      <c r="C6" s="18">
        <f>B6*(1+C5)</f>
        <v>875658194.9266862</v>
      </c>
      <c r="D6" s="18">
        <f>C6*(1+D5)</f>
        <v>902226858.5399814</v>
      </c>
      <c r="E6" s="18">
        <f>D6*(1+E5)</f>
        <v>929601651.6342614</v>
      </c>
      <c r="F6" s="18">
        <f>E6*(1+F5)</f>
        <v>957807033.2771547</v>
      </c>
    </row>
    <row r="7" spans="1:6" x14ac:dyDescent="0.25">
      <c r="A7" t="s">
        <v>5</v>
      </c>
      <c r="B7" s="10">
        <f>Assumptions!B7</f>
        <v>0.06422008007426364</v>
      </c>
      <c r="C7" s="10">
        <f>Assumptions!B7</f>
        <v>0.06422008007426364</v>
      </c>
      <c r="D7" s="10">
        <f>Assumptions!B7</f>
        <v>0.06422008007426364</v>
      </c>
      <c r="E7" s="10">
        <f>Assumptions!B7</f>
        <v>0.06422008007426364</v>
      </c>
      <c r="F7" s="10">
        <f>Assumptions!B7</f>
        <v>0.06422008007426364</v>
      </c>
    </row>
    <row r="8" spans="1:6" x14ac:dyDescent="0.25">
      <c r="A8" t="s">
        <v>44</v>
      </c>
      <c r="B8" s="18">
        <f>B6*B7</f>
        <v>54578842.88334292</v>
      </c>
      <c r="C8" s="18">
        <f>C6*C7</f>
        <v>56234839.395876944</v>
      </c>
      <c r="D8" s="18">
        <f>D6*D7</f>
        <v>57941081.10058893</v>
      </c>
      <c r="E8" s="18">
        <f>E6*E7</f>
        <v>59699092.505119994</v>
      </c>
      <c r="F8" s="18">
        <f>F6*F7</f>
        <v>61510444.372751765</v>
      </c>
    </row>
    <row r="9" spans="1:6" x14ac:dyDescent="0.25">
      <c r="A9" t="s">
        <v>45</v>
      </c>
      <c r="B9" s="18">
        <f>B8*(1-Assumptions!B8)</f>
        <v>39296766.8760069</v>
      </c>
      <c r="C9" s="18">
        <f>C8*(1-Assumptions!B8)</f>
        <v>40489084.3650314</v>
      </c>
      <c r="D9" s="18">
        <f>D8*(1-Assumptions!B8)</f>
        <v>41717578.39242403</v>
      </c>
      <c r="E9" s="18">
        <f>E8*(1-Assumptions!B8)</f>
        <v>42983346.60368639</v>
      </c>
      <c r="F9" s="18">
        <f>F8*(1-Assumptions!B8)</f>
        <v>44287519.94838127</v>
      </c>
    </row>
    <row r="10" spans="1:6" x14ac:dyDescent="0.25">
      <c r="A10" t="s">
        <v>46</v>
      </c>
      <c r="B10" s="18">
        <f>B6*Assumptions!B9</f>
        <v>93837691.65743716</v>
      </c>
      <c r="C10" s="18">
        <f>C6*Assumptions!B9</f>
        <v>96684855.17208149</v>
      </c>
      <c r="D10" s="18">
        <f>D6*Assumptions!B9</f>
        <v>99618405.50993022</v>
      </c>
      <c r="E10" s="18">
        <f>E6*Assumptions!B9</f>
        <v>102640963.76498973</v>
      </c>
      <c r="F10" s="18">
        <f>F6*Assumptions!B9</f>
        <v>105755230.55883244</v>
      </c>
    </row>
    <row r="11" spans="1:6" x14ac:dyDescent="0.25">
      <c r="A11" t="s">
        <v>47</v>
      </c>
      <c r="B11" s="18">
        <f>-B6*Assumptions!B10</f>
        <v>-83034114.71220887</v>
      </c>
      <c r="C11" s="18">
        <f>-C6*Assumptions!B10</f>
        <v>-85553482.97142003</v>
      </c>
      <c r="D11" s="18">
        <f>-D6*Assumptions!B10</f>
        <v>-88149292.29882975</v>
      </c>
      <c r="E11" s="18">
        <f>-E6*Assumptions!B10</f>
        <v>-90823862.0206762</v>
      </c>
      <c r="F11" s="18">
        <f>-F6*Assumptions!B10</f>
        <v>-93579581.83471814</v>
      </c>
    </row>
    <row r="12" spans="1:6" x14ac:dyDescent="0.25">
      <c r="A12" t="s">
        <v>48</v>
      </c>
      <c r="B12" s="18">
        <f>-(B6-Assumptions!B29)*Assumptions!B11</f>
        <v>-1892162.5274022922</v>
      </c>
      <c r="C12" s="18">
        <f>-(C6-B6)*Assumptions!B11</f>
        <v>-1949573.3184889317</v>
      </c>
      <c r="D12" s="18">
        <f>-(D6-C6)*Assumptions!B11</f>
        <v>-2008726.031258011</v>
      </c>
      <c r="E12" s="18">
        <f>-(E6-D6)*Assumptions!B11</f>
        <v>-2069673.5179885211</v>
      </c>
      <c r="F12" s="18">
        <f>-(F6-E6)*Assumptions!B11</f>
        <v>-2132470.2345696846</v>
      </c>
    </row>
    <row r="13" spans="1:6" x14ac:dyDescent="0.25">
      <c r="A13" s="19" t="s">
        <v>49</v>
      </c>
      <c r="B13" s="20">
        <f>B9+B10+B11+B12</f>
        <v>48208181.293832906</v>
      </c>
      <c r="C13" s="20">
        <f>C9+C10+C11+C12</f>
        <v>49670883.247203924</v>
      </c>
      <c r="D13" s="20">
        <f>D9+D10+D11+D12</f>
        <v>51177965.57226648</v>
      </c>
      <c r="E13" s="20">
        <f>E9+E10+E11+E12</f>
        <v>52730774.83001141</v>
      </c>
      <c r="F13" s="20">
        <f>F9+F10+F11+F12</f>
        <v>54330698.43792589</v>
      </c>
    </row>
    <row r="14" spans="1:6" x14ac:dyDescent="0.25">
      <c r="A14" t="s">
        <v>50</v>
      </c>
      <c r="B14" s="21">
        <f>1/(1+Assumptions!$B$26)^(1-0.5*Assumptions!$B$32)</f>
        <v>0.9620539512330418</v>
      </c>
      <c r="C14" s="21">
        <f>1/(1+Assumptions!$B$26)^(2-0.5*Assumptions!$B$32)</f>
        <v>0.8904269229352733</v>
      </c>
      <c r="D14" s="21">
        <f>1/(1+Assumptions!$B$26)^(3-0.5*Assumptions!$B$32)</f>
        <v>0.8241326841096479</v>
      </c>
      <c r="E14" s="21">
        <f>1/(1+Assumptions!$B$26)^(4-0.5*Assumptions!$B$32)</f>
        <v>0.7627741968749349</v>
      </c>
      <c r="F14" s="21">
        <f>1/(1+Assumptions!$B$26)^(5-0.5*Assumptions!$B$32)</f>
        <v>0.7059839836916265</v>
      </c>
    </row>
    <row r="15" spans="1:6" x14ac:dyDescent="0.25">
      <c r="A15" s="19" t="s">
        <v>51</v>
      </c>
      <c r="B15" s="20">
        <f>B13*B14</f>
        <v>46378871.295490764</v>
      </c>
      <c r="C15" s="20">
        <f>C13*C14</f>
        <v>44228291.729285</v>
      </c>
      <c r="D15" s="20">
        <f>D13*D14</f>
        <v>42177434.134343125</v>
      </c>
      <c r="E15" s="20">
        <f>E13*E14</f>
        <v>40221674.42155498</v>
      </c>
      <c r="F15" s="20">
        <f>F13*F14</f>
        <v>38356602.91995535</v>
      </c>
    </row>
    <row r="17" spans="1:2" x14ac:dyDescent="0.25">
      <c r="A17" s="22" t="s">
        <v>52</v>
      </c>
      <c r="B17" s="23">
        <f>SUM(B15:F15)</f>
        <v>211362874.50062922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54330698.43792589</v>
      </c>
    </row>
    <row r="5" spans="1:2" x14ac:dyDescent="0.25">
      <c r="A5" t="s">
        <v>56</v>
      </c>
      <c r="B5" s="18">
        <f>IF(Assumptions!$B$33=0,B4,B4-Forecast!F11-Forecast!F10-Forecast!F12)</f>
        <v>44287519.94838127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0.3063639860735908</v>
      </c>
    </row>
    <row r="7" spans="1:2" x14ac:dyDescent="0.25">
      <c r="A7" t="s">
        <v>58</v>
      </c>
      <c r="B7" s="18">
        <f>-MAX(Forecast!F9,0)*B6</f>
        <v>-13568101.144699752</v>
      </c>
    </row>
    <row r="8" spans="1:2" x14ac:dyDescent="0.25">
      <c r="A8" t="s">
        <v>59</v>
      </c>
      <c r="B8" s="18">
        <f>IF(OR(Assumptions!$B$33=0,Assumptions!B12&lt;=0),B5,MAX(B5+B7,0))</f>
        <v>30719418.803681515</v>
      </c>
    </row>
    <row r="9" spans="1:2" x14ac:dyDescent="0.25">
      <c r="A9" t="s">
        <v>60</v>
      </c>
      <c r="B9" s="18">
        <f>B8*(1+Assumptions!B12)/(Assumptions!B26-Assumptions!B12)</f>
        <v>567942121.1324276</v>
      </c>
    </row>
    <row r="10" spans="1:2" x14ac:dyDescent="0.25">
      <c r="A10" t="s">
        <v>61</v>
      </c>
      <c r="B10" s="18">
        <f>B9/(1+Assumptions!B26)^(5-0.5*Assumptions!B32)</f>
        <v>400958041.1833435</v>
      </c>
    </row>
    <row r="11" spans="1:2" x14ac:dyDescent="0.25">
      <c r="A11" t="s">
        <v>62</v>
      </c>
      <c r="B11" s="18">
        <f>Forecast!B17+B10</f>
        <v>612320915.6839727</v>
      </c>
    </row>
    <row r="12" spans="1:2" x14ac:dyDescent="0.25">
      <c r="A12" t="s">
        <v>63</v>
      </c>
      <c r="B12" s="18">
        <f>-Assumptions!B30</f>
        <v>16657000</v>
      </c>
    </row>
    <row r="13" spans="1:2" x14ac:dyDescent="0.25">
      <c r="A13" t="s">
        <v>64</v>
      </c>
      <c r="B13" s="18">
        <f>B11+B12</f>
        <v>628977915.6839727</v>
      </c>
    </row>
    <row r="14" spans="1:2" x14ac:dyDescent="0.25">
      <c r="A14" s="19" t="s">
        <v>65</v>
      </c>
      <c r="B14" s="24">
        <f>B13/Assumptions!B31</f>
        <v>4.538174957880958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167265674.9315842</v>
      </c>
    </row>
    <row r="18" spans="1:2" x14ac:dyDescent="0.25">
      <c r="A18" t="s">
        <v>60</v>
      </c>
      <c r="B18" s="18">
        <f>B17*Assumptions!B13</f>
        <v>576635457.4178697</v>
      </c>
    </row>
    <row r="19" spans="1:2" x14ac:dyDescent="0.25">
      <c r="A19" t="s">
        <v>61</v>
      </c>
      <c r="B19" s="18">
        <f>B18/(1+Assumptions!B26)^(5-0.5*Assumptions!B32)</f>
        <v>407095397.3657109</v>
      </c>
    </row>
    <row r="20" spans="1:2" x14ac:dyDescent="0.25">
      <c r="A20" t="s">
        <v>62</v>
      </c>
      <c r="B20" s="18">
        <f>Forecast!B17+B19</f>
        <v>618458271.8663402</v>
      </c>
    </row>
    <row r="21" spans="1:2" x14ac:dyDescent="0.25">
      <c r="A21" t="s">
        <v>63</v>
      </c>
      <c r="B21" s="18">
        <f>-Assumptions!B30</f>
        <v>16657000</v>
      </c>
    </row>
    <row r="22" spans="1:2" x14ac:dyDescent="0.25">
      <c r="A22" t="s">
        <v>64</v>
      </c>
      <c r="B22" s="18">
        <f>B20+B21</f>
        <v>635115271.8663402</v>
      </c>
    </row>
    <row r="23" spans="1:2" x14ac:dyDescent="0.25">
      <c r="A23" s="19" t="s">
        <v>65</v>
      </c>
      <c r="B23" s="25">
        <f>B22/Assumptions!B31</f>
        <v>4.582456951636062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3.36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4.538174957880958</v>
      </c>
    </row>
    <row r="29" spans="1:2" x14ac:dyDescent="0.25">
      <c r="A29" s="19" t="s">
        <v>73</v>
      </c>
      <c r="B29" s="12">
        <f>B28/B26-1</f>
        <v>0.35064730889314233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0.060441</v>
      </c>
      <c r="B5" s="31">
        <v>6.189304033777311</v>
      </c>
      <c r="C5" s="31">
        <v>6.387935568520351</v>
      </c>
      <c r="D5" s="31">
        <v>6.6383705115788585</v>
      </c>
      <c r="E5" s="31">
        <v>6.966135328073296</v>
      </c>
      <c r="F5" s="31">
        <v>7.416823670043246</v>
      </c>
    </row>
    <row r="6" spans="1:6" x14ac:dyDescent="0.25">
      <c r="A6" s="30">
        <v>0.070441</v>
      </c>
      <c r="B6" s="31">
        <v>5.194754883916014</v>
      </c>
      <c r="C6" s="31">
        <v>5.270746020747973</v>
      </c>
      <c r="D6" s="31">
        <v>5.360288325976339</v>
      </c>
      <c r="E6" s="31">
        <v>5.46840807308461</v>
      </c>
      <c r="F6" s="31">
        <v>5.602967952973117</v>
      </c>
    </row>
    <row r="7" spans="1:6" x14ac:dyDescent="0.25">
      <c r="A7" s="30">
        <v>0.080441</v>
      </c>
      <c r="B7" s="31">
        <v>4.500984201193776</v>
      </c>
      <c r="C7" s="31">
        <v>4.5191915847945126</v>
      </c>
      <c r="D7" s="32">
        <v>4.538189857893687</v>
      </c>
      <c r="E7" s="31">
        <v>4.558214212943404</v>
      </c>
      <c r="F7" s="31">
        <v>4.579603357922319</v>
      </c>
    </row>
    <row r="8" spans="1:6" x14ac:dyDescent="0.25">
      <c r="A8" s="30">
        <v>0.090441</v>
      </c>
      <c r="B8" s="31">
        <v>4.040853589829913</v>
      </c>
      <c r="C8" s="31">
        <v>4.052818847952265</v>
      </c>
      <c r="D8" s="31">
        <v>4.064784106074617</v>
      </c>
      <c r="E8" s="31">
        <v>4.07674936419697</v>
      </c>
      <c r="F8" s="31">
        <v>4.088714622319322</v>
      </c>
    </row>
    <row r="9" spans="1:6" x14ac:dyDescent="0.25">
      <c r="A9" s="30">
        <v>0.100441</v>
      </c>
      <c r="B9" s="31">
        <v>3.678970021607211</v>
      </c>
      <c r="C9" s="31">
        <v>3.6893103835934773</v>
      </c>
      <c r="D9" s="31">
        <v>3.6996507455797425</v>
      </c>
      <c r="E9" s="31">
        <v>3.709991107566009</v>
      </c>
      <c r="F9" s="31">
        <v>3.7203314695522742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824845000</v>
      </c>
      <c r="C5" s="18">
        <v>750723000</v>
      </c>
      <c r="D5" s="18">
        <v>766734000</v>
      </c>
      <c r="E5" s="18">
        <v>754100000</v>
      </c>
      <c r="F5" s="8" t="s">
        <v>84</v>
      </c>
    </row>
    <row r="6" spans="1:6" x14ac:dyDescent="0.25">
      <c r="A6" t="s">
        <v>44</v>
      </c>
      <c r="B6" s="18">
        <v>32332000</v>
      </c>
      <c r="C6" s="18">
        <v>23816000</v>
      </c>
      <c r="D6" s="18">
        <v>70498000</v>
      </c>
      <c r="E6" s="18">
        <v>70895000</v>
      </c>
      <c r="F6" s="8" t="s">
        <v>85</v>
      </c>
    </row>
    <row r="7" spans="1:6" x14ac:dyDescent="0.25">
      <c r="A7" t="s">
        <v>86</v>
      </c>
      <c r="B7" s="18">
        <v>97020000</v>
      </c>
      <c r="C7" s="18">
        <v>89141000</v>
      </c>
      <c r="D7" s="18">
        <v>82066000</v>
      </c>
      <c r="E7" s="18">
        <v>74098000</v>
      </c>
      <c r="F7" s="8" t="s">
        <v>87</v>
      </c>
    </row>
    <row r="8" spans="1:6" x14ac:dyDescent="0.25">
      <c r="A8" t="s">
        <v>88</v>
      </c>
      <c r="B8" s="18">
        <v>63427000</v>
      </c>
      <c r="C8" s="18">
        <v>77746000</v>
      </c>
      <c r="D8" s="18">
        <v>88707000</v>
      </c>
      <c r="E8" s="18">
        <v>71380000</v>
      </c>
      <c r="F8" s="8" t="s">
        <v>89</v>
      </c>
    </row>
    <row r="9" spans="1:6" x14ac:dyDescent="0.25">
      <c r="A9" t="s">
        <v>90</v>
      </c>
      <c r="B9" s="18">
        <v>5604000</v>
      </c>
      <c r="C9" s="18">
        <v>-15853000</v>
      </c>
      <c r="D9" s="18">
        <v>-4718000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62483000</v>
      </c>
      <c r="C10" s="18">
        <v>72600000</v>
      </c>
      <c r="D10" s="18">
        <v>24712000</v>
      </c>
      <c r="E10" s="18">
        <v>49313000</v>
      </c>
      <c r="F10" s="8" t="s">
        <v>93</v>
      </c>
    </row>
    <row r="11" spans="1:6" x14ac:dyDescent="0.25">
      <c r="A11" t="s">
        <v>94</v>
      </c>
      <c r="B11" s="18">
        <v>79140000</v>
      </c>
      <c r="C11" s="18">
        <v>32410000</v>
      </c>
      <c r="D11" s="18">
        <v>37799000</v>
      </c>
      <c r="E11" s="18">
        <v>56051000</v>
      </c>
      <c r="F11" s="8" t="s">
        <v>95</v>
      </c>
    </row>
    <row r="12" spans="1:6" x14ac:dyDescent="0.25">
      <c r="A12" t="s">
        <v>32</v>
      </c>
      <c r="B12" s="34">
        <v>138597106</v>
      </c>
      <c r="C12" s="34">
        <v>137675000</v>
      </c>
      <c r="D12" s="34">
        <v>142169000</v>
      </c>
      <c r="E12" s="34">
        <v>156778000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