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<sst xmlns="http://schemas.openxmlformats.org/spreadsheetml/2006/main" count="111" uniqueCount="99">
  <si>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SLB N.V. (SLB)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</si>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</sst>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0.08326017106596773</v>
      </c>
    </row>
    <row r="7" spans="1:2" x14ac:dyDescent="0.25">
      <c r="A7" t="s">
        <v>5</v>
      </c>
      <c r="B7" s="6">
        <v>0.16014222979359694</v>
      </c>
    </row>
    <row r="8" spans="1:2" x14ac:dyDescent="0.25">
      <c r="A8" t="s">
        <v>6</v>
      </c>
      <c r="B8" s="6">
        <v>0.1916742346602267</v>
      </c>
    </row>
    <row r="9" spans="1:2" x14ac:dyDescent="0.25">
      <c r="A9" t="s">
        <v>7</v>
      </c>
      <c r="B9" s="6">
        <v>0.05587660458852084</v>
      </c>
    </row>
    <row r="10" spans="1:2" x14ac:dyDescent="0.25">
      <c r="A10" t="s">
        <v>8</v>
      </c>
      <c r="B10" s="6">
        <v>0.05933818674773451</v>
      </c>
    </row>
    <row r="11" spans="1:2" x14ac:dyDescent="0.25">
      <c r="A11" t="s">
        <v>9</v>
      </c>
      <c r="B11" s="6">
        <v>0.0317208564631245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11.00745301863354</v>
      </c>
    </row>
    <row r="14" spans="1:3" x14ac:dyDescent="0.25">
      <c r="A14" t="s">
        <v>12</v>
      </c>
      <c r="B14" s="6">
        <v>0.12742469319924268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0.84858</v>
      </c>
      <c r="C19" s="8" t="s">
        <v>19</v>
      </c>
    </row>
    <row r="20" spans="1:2" x14ac:dyDescent="0.25">
      <c r="A20" t="s">
        <v>20</v>
      </c>
      <c r="B20" s="10">
        <f>B17+B19*B18</f>
        <v>0.09665190000000001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75869396992</v>
      </c>
    </row>
    <row r="23" spans="1:2" x14ac:dyDescent="0.25">
      <c r="A23" t="s">
        <v>24</v>
      </c>
      <c r="B23" s="11">
        <v>11636000000</v>
      </c>
    </row>
    <row r="24" spans="1:2" x14ac:dyDescent="0.25">
      <c r="A24" t="s">
        <v>25</v>
      </c>
      <c r="B24" s="10">
        <f>B22/(B22+B23)</f>
        <v>0.8670253447217228</v>
      </c>
    </row>
    <row r="25" spans="1:2" x14ac:dyDescent="0.25">
      <c r="A25" t="s">
        <v>26</v>
      </c>
      <c r="B25" s="10">
        <f>1-B24</f>
        <v>0.13297465527827723</v>
      </c>
    </row>
    <row r="26" spans="1:2" x14ac:dyDescent="0.25">
      <c r="A26" t="s">
        <v>27</v>
      </c>
      <c r="B26" s="12">
        <f>B24*B20+B25*B21*(1-B8)</f>
        <v>0.08917183917863981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35708000000</v>
      </c>
      <c r="C29" s="8" t="s">
        <v>30</v>
      </c>
    </row>
    <row r="30" spans="1:2" x14ac:dyDescent="0.25">
      <c r="A30" t="s">
        <v>31</v>
      </c>
      <c r="B30" s="11">
        <v>7424000000</v>
      </c>
    </row>
    <row r="31" spans="1:2" x14ac:dyDescent="0.25">
      <c r="A31" t="s">
        <v>32</v>
      </c>
      <c r="B31" s="13">
        <v>1437000000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0.08326017106596773</v>
      </c>
      <c r="C5" s="10">
        <f>Assumptions!B6</f>
        <v>0.08326017106596773</v>
      </c>
      <c r="D5" s="10">
        <f>Assumptions!B6</f>
        <v>0.08326017106596773</v>
      </c>
      <c r="E5" s="10">
        <f>Assumptions!B6</f>
        <v>0.08326017106596773</v>
      </c>
      <c r="F5" s="10">
        <f>Assumptions!B6</f>
        <v>0.08326017106596773</v>
      </c>
    </row>
    <row r="6" spans="1:6" x14ac:dyDescent="0.25">
      <c r="A6" t="s">
        <v>43</v>
      </c>
      <c r="B6" s="18">
        <f>Assumptions!B29*(1+B5)</f>
        <v>38681054188.42358</v>
      </c>
      <c r="C6" s="18">
        <f>B6*(1+C5)</f>
        <v>41901645377.16369</v>
      </c>
      <c r="D6" s="18">
        <f>C6*(1+D5)</f>
        <v>45390383539.21185</v>
      </c>
      <c r="E6" s="18">
        <f>D6*(1+E5)</f>
        <v>49169594637.436516</v>
      </c>
      <c r="F6" s="18">
        <f>E6*(1+F5)</f>
        <v>53263463498.19377</v>
      </c>
    </row>
    <row r="7" spans="1:6" x14ac:dyDescent="0.25">
      <c r="A7" t="s">
        <v>5</v>
      </c>
      <c r="B7" s="10">
        <f>Assumptions!B7</f>
        <v>0.16014222979359694</v>
      </c>
      <c r="C7" s="10">
        <f>Assumptions!B7</f>
        <v>0.16014222979359694</v>
      </c>
      <c r="D7" s="10">
        <f>Assumptions!B7</f>
        <v>0.16014222979359694</v>
      </c>
      <c r="E7" s="10">
        <f>Assumptions!B7</f>
        <v>0.16014222979359694</v>
      </c>
      <c r="F7" s="10">
        <f>Assumptions!B7</f>
        <v>0.16014222979359694</v>
      </c>
    </row>
    <row r="8" spans="1:6" x14ac:dyDescent="0.25">
      <c r="A8" t="s">
        <v>44</v>
      </c>
      <c r="B8" s="18">
        <f>B6*B7</f>
        <v>6194470268.501103</v>
      </c>
      <c r="C8" s="18">
        <f>C6*C7</f>
        <v>6710222922.719556</v>
      </c>
      <c r="D8" s="18">
        <f>D6*D7</f>
        <v>7268917231.155964</v>
      </c>
      <c r="E8" s="18">
        <f>E6*E7</f>
        <v>7874128523.28637</v>
      </c>
      <c r="F8" s="18">
        <f>F6*F7</f>
        <v>8529729811.1306095</v>
      </c>
    </row>
    <row r="9" spans="1:6" x14ac:dyDescent="0.25">
      <c r="A9" t="s">
        <v>45</v>
      </c>
      <c r="B9" s="18">
        <f>B8*(1-Assumptions!B8)</f>
        <v>5007149920.660625</v>
      </c>
      <c r="C9" s="18">
        <f>C8*(1-Assumptions!B8)</f>
        <v>5424046079.607776</v>
      </c>
      <c r="D9" s="18">
        <f>D8*(1-Assumptions!B8)</f>
        <v>5875653084.06561</v>
      </c>
      <c r="E9" s="18">
        <f>E8*(1-Assumptions!B8)</f>
        <v>6364860964.969194</v>
      </c>
      <c r="F9" s="18">
        <f>F8*(1-Assumptions!B8)</f>
        <v>6894800377.72363</v>
      </c>
    </row>
    <row r="10" spans="1:6" x14ac:dyDescent="0.25">
      <c r="A10" t="s">
        <v>46</v>
      </c>
      <c r="B10" s="18">
        <f>B6*Assumptions!B9</f>
        <v>2161365969.953692</v>
      </c>
      <c r="C10" s="18">
        <f>C6*Assumptions!B9</f>
        <v>2341321670.3481975</v>
      </c>
      <c r="D10" s="18">
        <f>D6*Assumptions!B9</f>
        <v>2536260513.1418457</v>
      </c>
      <c r="E10" s="18">
        <f>E6*Assumptions!B9</f>
        <v>2747429997.3338947</v>
      </c>
      <c r="F10" s="18">
        <f>F6*Assumptions!B9</f>
        <v>2976181488.9036865</v>
      </c>
    </row>
    <row r="11" spans="1:6" x14ac:dyDescent="0.25">
      <c r="A11" t="s">
        <v>47</v>
      </c>
      <c r="B11" s="18">
        <f>-B6*Assumptions!B10</f>
        <v>-2295263617.031916</v>
      </c>
      <c r="C11" s="18">
        <f>-C6*Assumptions!B10</f>
        <v>-2486367658.4274855</v>
      </c>
      <c r="D11" s="18">
        <f>-D6*Assumptions!B10</f>
        <v>-2693383055.001047</v>
      </c>
      <c r="E11" s="18">
        <f>-E6*Assumptions!B10</f>
        <v>-2917634588.9066133</v>
      </c>
      <c r="F11" s="18">
        <f>-F6*Assumptions!B10</f>
        <v>-3160557343.8869624</v>
      </c>
    </row>
    <row r="12" spans="1:6" x14ac:dyDescent="0.25">
      <c r="A12" t="s">
        <v>48</v>
      </c>
      <c r="B12" s="18">
        <f>-(B6-Assumptions!B29)*Assumptions!B11</f>
        <v>-94307825.16807537</v>
      </c>
      <c r="C12" s="18">
        <f>-(C6-B6)*Assumptions!B11</f>
        <v>-102159910.82442862</v>
      </c>
      <c r="D12" s="18">
        <f>-(D6-C6)*Assumptions!B11</f>
        <v>-110665762.47575462</v>
      </c>
      <c r="E12" s="18">
        <f>-(E6-D6)*Assumptions!B11</f>
        <v>-119879812.79063164</v>
      </c>
      <c r="F12" s="18">
        <f>-(F6-E6)*Assumptions!B11</f>
        <v>-129861026.51093593</v>
      </c>
    </row>
    <row r="13" spans="1:6" x14ac:dyDescent="0.25">
      <c r="A13" s="19" t="s">
        <v>49</v>
      </c>
      <c r="B13" s="20">
        <f>B9+B10+B11+B12</f>
        <v>4778944448.414326</v>
      </c>
      <c r="C13" s="20">
        <f>C9+C10+C11+C12</f>
        <v>5176840180.704059</v>
      </c>
      <c r="D13" s="20">
        <f>D9+D10+D11+D12</f>
        <v>5607864779.730654</v>
      </c>
      <c r="E13" s="20">
        <f>E9+E10+E11+E12</f>
        <v>6074776560.6058445</v>
      </c>
      <c r="F13" s="20">
        <f>F9+F10+F11+F12</f>
        <v>6580563496.229417</v>
      </c>
    </row>
    <row r="14" spans="1:6" x14ac:dyDescent="0.25">
      <c r="A14" t="s">
        <v>50</v>
      </c>
      <c r="B14" s="21">
        <f>1/(1+Assumptions!$B$26)^(1-0.5*Assumptions!$B$32)</f>
        <v>0.9581903615984096</v>
      </c>
      <c r="C14" s="21">
        <f>1/(1+Assumptions!$B$26)^(2-0.5*Assumptions!$B$32)</f>
        <v>0.8797421372195915</v>
      </c>
      <c r="D14" s="21">
        <f>1/(1+Assumptions!$B$26)^(3-0.5*Assumptions!$B$32)</f>
        <v>0.8077165655357171</v>
      </c>
      <c r="E14" s="21">
        <f>1/(1+Assumptions!$B$26)^(4-0.5*Assumptions!$B$32)</f>
        <v>0.7415878160647523</v>
      </c>
      <c r="F14" s="21">
        <f>1/(1+Assumptions!$B$26)^(5-0.5*Assumptions!$B$32)</f>
        <v>0.6808731087134923</v>
      </c>
    </row>
    <row r="15" spans="1:6" x14ac:dyDescent="0.25">
      <c r="A15" s="19" t="s">
        <v>51</v>
      </c>
      <c r="B15" s="20">
        <f>B13*B14</f>
        <v>4579138509.084835</v>
      </c>
      <c r="C15" s="20">
        <f>C13*C14</f>
        <v>4554284444.616845</v>
      </c>
      <c r="D15" s="20">
        <f>D13*D14</f>
        <v>4529565279.872754</v>
      </c>
      <c r="E15" s="20">
        <f>E13*E14</f>
        <v>4504980282.661036</v>
      </c>
      <c r="F15" s="20">
        <f>F13*F14</f>
        <v>4480528724.764251</v>
      </c>
    </row>
    <row r="17" spans="1:2" x14ac:dyDescent="0.25">
      <c r="A17" s="22" t="s">
        <v>52</v>
      </c>
      <c r="B17" s="23">
        <f>SUM(B15:F15)</f>
        <v>22648497240.999718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6580563496.229417</v>
      </c>
    </row>
    <row r="5" spans="1:2" x14ac:dyDescent="0.25">
      <c r="A5" t="s">
        <v>56</v>
      </c>
      <c r="B5" s="18">
        <f>IF(Assumptions!$B$33=0,B4,B4-Forecast!F11-Forecast!F10-Forecast!F12)</f>
        <v>7324538686.385347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0.19619431188984476</v>
      </c>
    </row>
    <row r="7" spans="1:2" x14ac:dyDescent="0.25">
      <c r="A7" t="s">
        <v>58</v>
      </c>
      <c r="B7" s="18">
        <f>-MAX(Forecast!F9,0)*B6</f>
        <v>-1437032827.4859207</v>
      </c>
    </row>
    <row r="8" spans="1:2" x14ac:dyDescent="0.25">
      <c r="A8" t="s">
        <v>59</v>
      </c>
      <c r="B8" s="18">
        <f>IF(OR(Assumptions!$B$33=0,Assumptions!B12&lt;=0),B5,MAX(B5+B7,0))</f>
        <v>5887505858.899426</v>
      </c>
    </row>
    <row r="9" spans="1:2" x14ac:dyDescent="0.25">
      <c r="A9" t="s">
        <v>60</v>
      </c>
      <c r="B9" s="18">
        <f>B8*(1+Assumptions!B12)/(Assumptions!B26-Assumptions!B12)</f>
        <v>94039590926.67888</v>
      </c>
    </row>
    <row r="10" spans="1:2" x14ac:dyDescent="0.25">
      <c r="A10" t="s">
        <v>61</v>
      </c>
      <c r="B10" s="18">
        <f>B9/(1+Assumptions!B26)^(5-0.5*Assumptions!B32)</f>
        <v>64029028616.39297</v>
      </c>
    </row>
    <row r="11" spans="1:2" x14ac:dyDescent="0.25">
      <c r="A11" t="s">
        <v>62</v>
      </c>
      <c r="B11" s="18">
        <f>Forecast!B17+B10</f>
        <v>86677525857.39268</v>
      </c>
    </row>
    <row r="12" spans="1:2" x14ac:dyDescent="0.25">
      <c r="A12" t="s">
        <v>63</v>
      </c>
      <c r="B12" s="18">
        <f>-Assumptions!B30</f>
        <v>-7424000000</v>
      </c>
    </row>
    <row r="13" spans="1:2" x14ac:dyDescent="0.25">
      <c r="A13" t="s">
        <v>64</v>
      </c>
      <c r="B13" s="18">
        <f>B11+B12</f>
        <v>79253525857.39268</v>
      </c>
    </row>
    <row r="14" spans="1:2" x14ac:dyDescent="0.25">
      <c r="A14" s="19" t="s">
        <v>65</v>
      </c>
      <c r="B14" s="24">
        <f>B13/Assumptions!B31</f>
        <v>55.15207088197125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11505911300.034296</v>
      </c>
    </row>
    <row r="18" spans="1:2" x14ac:dyDescent="0.25">
      <c r="A18" t="s">
        <v>60</v>
      </c>
      <c r="B18" s="18">
        <f>B17*Assumptions!B13</f>
        <v>126650778071.69228</v>
      </c>
    </row>
    <row r="19" spans="1:2" x14ac:dyDescent="0.25">
      <c r="A19" t="s">
        <v>61</v>
      </c>
      <c r="B19" s="18">
        <f>B18/(1+Assumptions!B26)^(5-0.5*Assumptions!B32)</f>
        <v>86233108986.65572</v>
      </c>
    </row>
    <row r="20" spans="1:2" x14ac:dyDescent="0.25">
      <c r="A20" t="s">
        <v>62</v>
      </c>
      <c r="B20" s="18">
        <f>Forecast!B17+B19</f>
        <v>108881606227.65543</v>
      </c>
    </row>
    <row r="21" spans="1:2" x14ac:dyDescent="0.25">
      <c r="A21" t="s">
        <v>63</v>
      </c>
      <c r="B21" s="18">
        <f>-Assumptions!B30</f>
        <v>-7424000000</v>
      </c>
    </row>
    <row r="22" spans="1:2" x14ac:dyDescent="0.25">
      <c r="A22" t="s">
        <v>64</v>
      </c>
      <c r="B22" s="18">
        <f>B20+B21</f>
        <v>101457606227.65543</v>
      </c>
    </row>
    <row r="23" spans="1:2" x14ac:dyDescent="0.25">
      <c r="A23" s="19" t="s">
        <v>65</v>
      </c>
      <c r="B23" s="25">
        <f>B22/Assumptions!B31</f>
        <v>70.60376216259947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55.15207088197125</v>
      </c>
    </row>
    <row r="29" spans="1:2" x14ac:dyDescent="0.25">
      <c r="A29" s="19" t="s">
        <v>73</v>
      </c>
      <c r="B29" s="12">
        <f>B28/B26-1</f>
        <v>0.07887462601665196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0.069172</v>
      </c>
      <c r="B5" s="31">
        <v>73.70478273079915</v>
      </c>
      <c r="C5" s="31">
        <v>77.31376525181413</v>
      </c>
      <c r="D5" s="31">
        <v>81.70626689651418</v>
      </c>
      <c r="E5" s="31">
        <v>87.18231796346147</v>
      </c>
      <c r="F5" s="31">
        <v>94.21754883231502</v>
      </c>
    </row>
    <row r="6" spans="1:6" x14ac:dyDescent="0.25">
      <c r="A6" s="30">
        <v>0.079172</v>
      </c>
      <c r="B6" s="31">
        <v>61.444920126456054</v>
      </c>
      <c r="C6" s="31">
        <v>63.53349405164903</v>
      </c>
      <c r="D6" s="31">
        <v>65.98140953071304</v>
      </c>
      <c r="E6" s="31">
        <v>68.89828429951542</v>
      </c>
      <c r="F6" s="31">
        <v>72.4433683206133</v>
      </c>
    </row>
    <row r="7" spans="1:6" x14ac:dyDescent="0.25">
      <c r="A7" s="30">
        <v>0.089172</v>
      </c>
      <c r="B7" s="31">
        <v>52.49555494396213</v>
      </c>
      <c r="C7" s="31">
        <v>53.737576858989655</v>
      </c>
      <c r="D7" s="32">
        <v>55.151923818106845</v>
      </c>
      <c r="E7" s="31">
        <v>56.78227992293855</v>
      </c>
      <c r="F7" s="31">
        <v>58.68845720157521</v>
      </c>
    </row>
    <row r="8" spans="1:6" x14ac:dyDescent="0.25">
      <c r="A8" s="30">
        <v>0.099172</v>
      </c>
      <c r="B8" s="31">
        <v>45.67659579644686</v>
      </c>
      <c r="C8" s="31">
        <v>46.41630524317332</v>
      </c>
      <c r="D8" s="31">
        <v>47.238123681670665</v>
      </c>
      <c r="E8" s="31">
        <v>48.159856508292414</v>
      </c>
      <c r="F8" s="31">
        <v>49.20485839208214</v>
      </c>
    </row>
    <row r="9" spans="1:6" x14ac:dyDescent="0.25">
      <c r="A9" s="30">
        <v>0.109172</v>
      </c>
      <c r="B9" s="31">
        <v>40.309208926972914</v>
      </c>
      <c r="C9" s="31">
        <v>40.737176916688725</v>
      </c>
      <c r="D9" s="31">
        <v>41.20108281345169</v>
      </c>
      <c r="E9" s="31">
        <v>41.70773544621282</v>
      </c>
      <c r="F9" s="31">
        <v>42.26577960060509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35708000000</v>
      </c>
      <c r="C5" s="18">
        <v>36289000000</v>
      </c>
      <c r="D5" s="18">
        <v>33135000000</v>
      </c>
      <c r="E5" s="18">
        <v>28091000000</v>
      </c>
      <c r="F5" s="8" t="s">
        <v>84</v>
      </c>
    </row>
    <row r="6" spans="1:6" x14ac:dyDescent="0.25">
      <c r="A6" t="s">
        <v>44</v>
      </c>
      <c r="B6" s="18">
        <v>5458000000</v>
      </c>
      <c r="C6" s="18">
        <v>6326000000</v>
      </c>
      <c r="D6" s="18">
        <v>5488000000</v>
      </c>
      <c r="E6" s="18">
        <v>4151000000</v>
      </c>
      <c r="F6" s="8" t="s">
        <v>85</v>
      </c>
    </row>
    <row r="7" spans="1:6" x14ac:dyDescent="0.25">
      <c r="A7" t="s">
        <v>86</v>
      </c>
      <c r="B7" s="18">
        <v>2109000000</v>
      </c>
      <c r="C7" s="18">
        <v>1885000000</v>
      </c>
      <c r="D7" s="18">
        <v>1759000000</v>
      </c>
      <c r="E7" s="18">
        <v>1669000000</v>
      </c>
      <c r="F7" s="8" t="s">
        <v>87</v>
      </c>
    </row>
    <row r="8" spans="1:6" x14ac:dyDescent="0.25">
      <c r="A8" t="s">
        <v>88</v>
      </c>
      <c r="B8" s="18">
        <v>1946000000</v>
      </c>
      <c r="C8" s="18">
        <v>2129000000</v>
      </c>
      <c r="D8" s="18">
        <v>2092000000</v>
      </c>
      <c r="E8" s="18">
        <v>1715000000</v>
      </c>
      <c r="F8" s="8" t="s">
        <v>89</v>
      </c>
    </row>
    <row r="9" spans="1:6" x14ac:dyDescent="0.25">
      <c r="A9" t="s">
        <v>90</v>
      </c>
      <c r="B9" s="18">
        <v>44000000</v>
      </c>
      <c r="C9" s="18">
        <v>973000000</v>
      </c>
      <c r="D9" s="18">
        <v>160000000</v>
      </c>
      <c r="E9" s="18">
        <v>1731000000</v>
      </c>
      <c r="F9" s="8" t="s">
        <v>91</v>
      </c>
    </row>
    <row r="10" spans="1:6" x14ac:dyDescent="0.25">
      <c r="A10" t="s">
        <v>92</v>
      </c>
      <c r="B10" s="18">
        <v>11636000000</v>
      </c>
      <c r="C10" s="18">
        <v>12074000000</v>
      </c>
      <c r="D10" s="18">
        <v>11965000000</v>
      </c>
      <c r="E10" s="18">
        <v>12226000000</v>
      </c>
      <c r="F10" s="8" t="s">
        <v>93</v>
      </c>
    </row>
    <row r="11" spans="1:6" x14ac:dyDescent="0.25">
      <c r="A11" t="s">
        <v>94</v>
      </c>
      <c r="B11" s="18">
        <v>4212000000</v>
      </c>
      <c r="C11" s="18">
        <v>4669000000</v>
      </c>
      <c r="D11" s="18">
        <v>3989000000</v>
      </c>
      <c r="E11" s="18">
        <v>2894000000</v>
      </c>
      <c r="F11" s="8" t="s">
        <v>95</v>
      </c>
    </row>
    <row r="12" spans="1:6" x14ac:dyDescent="0.25">
      <c r="A12" t="s">
        <v>32</v>
      </c>
      <c r="B12" s="34">
        <v>1437000000</v>
      </c>
      <c r="C12" s="34">
        <v>1436000000</v>
      </c>
      <c r="D12" s="34">
        <v>1443000000</v>
      </c>
      <c r="E12" s="34">
        <v>1437000000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2026-09-19T01:03:26Z</dcterms:modified>
</cp:coreProperties>
</file>