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<sst xmlns="http://schemas.openxmlformats.org/spreadsheetml/2006/main" count="119" uniqueCount="106">
  <si>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SLB N.V. (SLB)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</si>
  <si>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</si>
  <si>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</si>
  <si>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</si>
  <si>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</si>
  <si>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</si>
  <si>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</si>
  <si>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</si>
  <si>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</si>
  <si>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</si>
  <si>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</si>
  <si>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</si>
  <si>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</si>
  <si>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</si>
  <si>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</si>
  <si>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</si>
  <si>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</si>
  <si>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</si>
  <si>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</si>
  <si>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</si>
  <si>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</si>
  <si>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</si>
  <si>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</si>
  <si>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</si>
  <si>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9.8x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</si>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</sst>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0.039837159180015735</v>
      </c>
    </row>
    <row r="7" spans="1:2" x14ac:dyDescent="0.25">
      <c r="A7" t="s">
        <v>4</v>
      </c>
      <c r="B7" s="5">
        <v>0.16014222979359694</v>
      </c>
    </row>
    <row r="8" spans="1:2" x14ac:dyDescent="0.25">
      <c r="A8" t="s">
        <v>5</v>
      </c>
      <c r="B8" s="5">
        <v>0.1916742346602267</v>
      </c>
    </row>
    <row r="9" spans="1:2" x14ac:dyDescent="0.25">
      <c r="A9" t="s">
        <v>6</v>
      </c>
      <c r="B9" s="5">
        <v>0.05587660458852084</v>
      </c>
    </row>
    <row r="10" spans="1:3" x14ac:dyDescent="0.25">
      <c r="A10" t="s">
        <v>7</v>
      </c>
      <c r="B10" s="5">
        <v>0.05933818674773451</v>
      </c>
      <c r="C10" s="6" t="s">
        <v>8</v>
      </c>
    </row>
    <row r="11" spans="1:2" x14ac:dyDescent="0.25">
      <c r="A11" t="s">
        <v>9</v>
      </c>
      <c r="B11" s="5">
        <v>0.23628947905553688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11.463702057882912</v>
      </c>
    </row>
    <row r="14" spans="1:3" x14ac:dyDescent="0.25">
      <c r="A14" t="s">
        <v>12</v>
      </c>
      <c r="B14" s="5">
        <v>0.12742469319924268</v>
      </c>
      <c r="C14" s="6" t="s">
        <v>13</v>
      </c>
    </row>
    <row r="15" spans="1:3" x14ac:dyDescent="0.25">
      <c r="A15" t="s">
        <v>14</v>
      </c>
      <c r="B15" s="5">
        <v>0.045895278486729106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0.89213</v>
      </c>
      <c r="C19" s="6" t="s">
        <v>21</v>
      </c>
    </row>
    <row r="20" spans="1:2" x14ac:dyDescent="0.25">
      <c r="A20" t="s">
        <v>22</v>
      </c>
      <c r="B20" s="9">
        <f>B17+B19*B18</f>
        <v>0.08667709900000001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79321833472</v>
      </c>
    </row>
    <row r="23" spans="1:2" x14ac:dyDescent="0.25">
      <c r="A23" t="s">
        <v>26</v>
      </c>
      <c r="B23" s="10">
        <v>11636000000</v>
      </c>
    </row>
    <row r="24" spans="1:2" x14ac:dyDescent="0.25">
      <c r="A24" t="s">
        <v>27</v>
      </c>
      <c r="B24" s="9">
        <f>B22/(B22+B23)</f>
        <v>0.8720725906078011</v>
      </c>
    </row>
    <row r="25" spans="1:2" x14ac:dyDescent="0.25">
      <c r="A25" t="s">
        <v>28</v>
      </c>
      <c r="B25" s="9">
        <f>1-B24</f>
        <v>0.12792740939219893</v>
      </c>
    </row>
    <row r="26" spans="1:2" x14ac:dyDescent="0.25">
      <c r="A26" t="s">
        <v>29</v>
      </c>
      <c r="B26" s="11">
        <f>B24*B20+B25*B21*(1-B8)</f>
        <v>0.0810630899685914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35708000000</v>
      </c>
      <c r="C29" s="6" t="s">
        <v>32</v>
      </c>
    </row>
    <row r="30" spans="1:2" x14ac:dyDescent="0.25">
      <c r="A30" t="s">
        <v>33</v>
      </c>
      <c r="B30" s="10">
        <v>7424000000</v>
      </c>
    </row>
    <row r="31" spans="1:2" x14ac:dyDescent="0.25">
      <c r="A31" t="s">
        <v>34</v>
      </c>
      <c r="B31" s="12">
        <v>1437000000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0.039837159180015735</v>
      </c>
      <c r="C5" s="5">
        <v>0.08158326683562978</v>
      </c>
      <c r="D5" s="5">
        <v>0.07451035848117606</v>
      </c>
      <c r="E5" s="5">
        <v>0.06743745012672234</v>
      </c>
      <c r="F5" s="5">
        <v>0.06036454177226861</v>
      </c>
      <c r="G5" s="5">
        <v>0.053291633417814885</v>
      </c>
      <c r="H5" s="5">
        <v>0.046218725063361166</v>
      </c>
      <c r="I5" s="5">
        <v>0.03914581670890745</v>
      </c>
      <c r="J5" s="5">
        <v>0.03207290835445372</v>
      </c>
      <c r="K5" s="5">
        <v>0.025</v>
      </c>
    </row>
    <row r="6" spans="1:11" x14ac:dyDescent="0.25">
      <c r="A6" t="s">
        <v>50</v>
      </c>
      <c r="B6" s="18">
        <f>Assumptions!B29*(1+B5)</f>
        <v>37130505280</v>
      </c>
      <c r="C6" s="18">
        <f>B6*(1+C5)</f>
        <v>40159733200</v>
      </c>
      <c r="D6" s="18">
        <f>C6*(1+D5)</f>
        <v>43152049317.240395</v>
      </c>
      <c r="E6" s="18">
        <f>D6*(1+E5)</f>
        <v>46062113490.93765</v>
      </c>
      <c r="F6" s="18">
        <f>E6*(1+F5)</f>
        <v>48842631864.88034</v>
      </c>
      <c r="G6" s="18">
        <f>F6*(1+G5)</f>
        <v>51445535497.38483</v>
      </c>
      <c r="H6" s="18">
        <f>G6*(1+H5)</f>
        <v>53823282558.27585</v>
      </c>
      <c r="I6" s="18">
        <f>H6*(1+I5)</f>
        <v>55930238911.97385</v>
      </c>
      <c r="J6" s="18">
        <f>I6*(1+J5)</f>
        <v>57724084338.84029</v>
      </c>
      <c r="K6" s="18">
        <f>J6*(1+K5)</f>
        <v>59167186447.31129</v>
      </c>
    </row>
    <row r="7" spans="1:11" x14ac:dyDescent="0.25">
      <c r="A7" t="s">
        <v>4</v>
      </c>
      <c r="B7" s="9">
        <f>Assumptions!B7</f>
        <v>0.16014222979359694</v>
      </c>
      <c r="C7" s="9">
        <f>Assumptions!B7</f>
        <v>0.16014222979359694</v>
      </c>
      <c r="D7" s="9">
        <f>Assumptions!B7</f>
        <v>0.16014222979359694</v>
      </c>
      <c r="E7" s="9">
        <f>Assumptions!B7</f>
        <v>0.16014222979359694</v>
      </c>
      <c r="F7" s="9">
        <f>Assumptions!B7</f>
        <v>0.16014222979359694</v>
      </c>
      <c r="G7" s="9">
        <f>Assumptions!B7</f>
        <v>0.16014222979359694</v>
      </c>
      <c r="H7" s="9">
        <f>Assumptions!B7</f>
        <v>0.16014222979359694</v>
      </c>
      <c r="I7" s="9">
        <f>Assumptions!B7</f>
        <v>0.16014222979359694</v>
      </c>
      <c r="J7" s="9">
        <f>Assumptions!B7</f>
        <v>0.16014222979359694</v>
      </c>
      <c r="K7" s="9">
        <f>Assumptions!B7</f>
        <v>0.16014222979359694</v>
      </c>
    </row>
    <row r="8" spans="1:11" x14ac:dyDescent="0.25">
      <c r="A8" t="s">
        <v>51</v>
      </c>
      <c r="B8" s="18">
        <f>B6*B7</f>
        <v>5946161908.902124</v>
      </c>
      <c r="C8" s="18">
        <f>C6*C7</f>
        <v>6431269222.563944</v>
      </c>
      <c r="D8" s="18">
        <f>D6*D7</f>
        <v>6910465397.826139</v>
      </c>
      <c r="E8" s="18">
        <f>E6*E7</f>
        <v>7376489563.444479</v>
      </c>
      <c r="F8" s="18">
        <f>F6*F7</f>
        <v>7821767975.829727</v>
      </c>
      <c r="G8" s="18">
        <f>G6*G7</f>
        <v>8238602767.47685</v>
      </c>
      <c r="H8" s="18">
        <f>H6*H7</f>
        <v>8619380483.69311</v>
      </c>
      <c r="I8" s="18">
        <f>I6*I7</f>
        <v>8956793172.252092</v>
      </c>
      <c r="J8" s="18">
        <f>J6*J7</f>
        <v>9244063578.81553</v>
      </c>
      <c r="K8" s="18">
        <f>K6*K7</f>
        <v>9475165168.28592</v>
      </c>
    </row>
    <row r="9" spans="1:11" x14ac:dyDescent="0.25">
      <c r="A9" t="s">
        <v>52</v>
      </c>
      <c r="B9" s="18">
        <f>B8*(1-Assumptions!B8)</f>
        <v>4806435875.847517</v>
      </c>
      <c r="C9" s="18">
        <f>C8*(1-Assumptions!B8)</f>
        <v>5198560616.435129</v>
      </c>
      <c r="D9" s="18">
        <f>D8*(1-Assumptions!B8)</f>
        <v>5585907231.551835</v>
      </c>
      <c r="E9" s="18">
        <f>E8*(1-Assumptions!B8)</f>
        <v>5962606571.892109</v>
      </c>
      <c r="F9" s="18">
        <f>F8*(1-Assumptions!B8)</f>
        <v>6322536585.372694</v>
      </c>
      <c r="G9" s="18">
        <f>G8*(1-Assumptions!B8)</f>
        <v>6659474887.351099</v>
      </c>
      <c r="H9" s="18">
        <f>H8*(1-Assumptions!B8)</f>
        <v>6967267326.235938</v>
      </c>
      <c r="I9" s="18">
        <f>I8*(1-Assumptions!B8)</f>
        <v>7240006695.950728</v>
      </c>
      <c r="J9" s="18">
        <f>J8*(1-Assumptions!B8)</f>
        <v>7472214767.195588</v>
      </c>
      <c r="K9" s="18">
        <f>K8*(1-Assumptions!B8)</f>
        <v>7659020136.375478</v>
      </c>
    </row>
    <row r="10" spans="1:11" x14ac:dyDescent="0.25">
      <c r="A10" t="s">
        <v>53</v>
      </c>
      <c r="B10" s="18">
        <f>B6*Assumptions!B9</f>
        <v>2074726561.7025452</v>
      </c>
      <c r="C10" s="18">
        <f>C6*Assumptions!B9</f>
        <v>2243989532.3968925</v>
      </c>
      <c r="D10" s="18">
        <f>D6*Assumptions!B9</f>
        <v>2411189996.8837924</v>
      </c>
      <c r="E10" s="18">
        <f>E6*Assumptions!B9</f>
        <v>2573794502.0446944</v>
      </c>
      <c r="F10" s="18">
        <f>F6*Assumptions!B9</f>
        <v>2729160427.776607</v>
      </c>
      <c r="G10" s="18">
        <f>G6*Assumptions!B9</f>
        <v>2874601844.8320847</v>
      </c>
      <c r="H10" s="18">
        <f>H6*Assumptions!B9</f>
        <v>3007462277.16501</v>
      </c>
      <c r="I10" s="18">
        <f>I6*Assumptions!B9</f>
        <v>3125191844.2258644</v>
      </c>
      <c r="J10" s="18">
        <f>J6*Assumptions!B9</f>
        <v>3225425835.835807</v>
      </c>
      <c r="K10" s="18">
        <f>K6*Assumptions!B9</f>
        <v>3306061481.731702</v>
      </c>
    </row>
    <row r="11" spans="1:11" x14ac:dyDescent="0.25">
      <c r="A11" t="s">
        <v>54</v>
      </c>
      <c r="B11" s="18">
        <f>-B6*B19</f>
        <v>-2203256856.342382</v>
      </c>
      <c r="C11" s="18">
        <f>-C6*C19</f>
        <v>-2443409567.0125113</v>
      </c>
      <c r="D11" s="18">
        <f>-D6*D19</f>
        <v>-2690373418.6000385</v>
      </c>
      <c r="E11" s="18">
        <f>-E6*E19</f>
        <v>-2941086866.5984073</v>
      </c>
      <c r="F11" s="18">
        <f>-F6*F19</f>
        <v>-3192087899.867704</v>
      </c>
      <c r="G11" s="18">
        <f>-G6*G19</f>
        <v>-3439578149.410864</v>
      </c>
      <c r="H11" s="18">
        <f>-H6*H19</f>
        <v>-3679506081.115105</v>
      </c>
      <c r="I11" s="18">
        <f>-I6*I19</f>
        <v>-3907667416.802686</v>
      </c>
      <c r="J11" s="18">
        <f>-J6*J19</f>
        <v>-4119819844.2273984</v>
      </c>
      <c r="K11" s="18">
        <f>-K6*K19</f>
        <v>-4311808063.031145</v>
      </c>
    </row>
    <row r="12" spans="1:11" x14ac:dyDescent="0.25">
      <c r="A12" t="s">
        <v>55</v>
      </c>
      <c r="B12" s="18">
        <f>-(B6-Assumptions!B29)*Assumptions!B11</f>
        <v>-336123031.56495064</v>
      </c>
      <c r="C12" s="18">
        <f>-(C6-B6)*Assumptions!B11</f>
        <v>-715774687.1572876</v>
      </c>
      <c r="D12" s="18">
        <f>-(D6-C6)*Assumptions!B11</f>
        <v>-707052816.5122197</v>
      </c>
      <c r="E12" s="18">
        <f>-(E6-D6)*Assumptions!B11</f>
        <v>-687617547.6211065</v>
      </c>
      <c r="F12" s="18">
        <f>-(F6-E6)*Assumptions!B11</f>
        <v>-657007238.0832663</v>
      </c>
      <c r="G12" s="18">
        <f>-(G6-F6)*Assumptions!B11</f>
        <v>-615038743.3562496</v>
      </c>
      <c r="H12" s="18">
        <f>-(H6-G6)*Assumptions!B11</f>
        <v>-561836614.3437735</v>
      </c>
      <c r="I12" s="18">
        <f>-(I6-H6)*Assumptions!B11</f>
        <v>-497851619.20805347</v>
      </c>
      <c r="J12" s="18">
        <f>-(J6-I6)*Assumptions!B11</f>
        <v>-423866801.4204282</v>
      </c>
      <c r="K12" s="18">
        <f>-(K6-J6)*Assumptions!B11</f>
        <v>-340989845.43455964</v>
      </c>
    </row>
    <row r="13" spans="1:11" x14ac:dyDescent="0.25">
      <c r="A13" s="19" t="s">
        <v>56</v>
      </c>
      <c r="B13" s="20">
        <f>B9+B10+B11+B12</f>
        <v>4341782549.642729</v>
      </c>
      <c r="C13" s="20">
        <f>C9+C10+C11+C12</f>
        <v>4283365894.662223</v>
      </c>
      <c r="D13" s="20">
        <f>D9+D10+D11+D12</f>
        <v>4599670993.323369</v>
      </c>
      <c r="E13" s="20">
        <f>E9+E10+E11+E12</f>
        <v>4907696659.71729</v>
      </c>
      <c r="F13" s="20">
        <f>F9+F10+F11+F12</f>
        <v>5202601875.198331</v>
      </c>
      <c r="G13" s="20">
        <f>G9+G10+G11+G12</f>
        <v>5479459839.41607</v>
      </c>
      <c r="H13" s="20">
        <f>H9+H10+H11+H12</f>
        <v>5733386907.942069</v>
      </c>
      <c r="I13" s="20">
        <f>I9+I10+I11+I12</f>
        <v>5959679504.1658535</v>
      </c>
      <c r="J13" s="20">
        <f>J9+J10+J11+J12</f>
        <v>6153953957.383569</v>
      </c>
      <c r="K13" s="20">
        <f>K9+K10+K11+K12</f>
        <v>6312283709.641475</v>
      </c>
    </row>
    <row r="14" spans="1:11" x14ac:dyDescent="0.25">
      <c r="A14" t="s">
        <v>57</v>
      </c>
      <c r="B14" s="21">
        <f>1/(1+Assumptions!$B$26)^(1-0.5*Assumptions!$B$32)</f>
        <v>0.9617772059587428</v>
      </c>
      <c r="C14" s="21">
        <f>1/(1+Assumptions!$B$26)^(2-0.5*Assumptions!$B$32)</f>
        <v>0.8896587210157049</v>
      </c>
      <c r="D14" s="21">
        <f>1/(1+Assumptions!$B$26)^(3-0.5*Assumptions!$B$32)</f>
        <v>0.8229480122585191</v>
      </c>
      <c r="E14" s="21">
        <f>1/(1+Assumptions!$B$26)^(4-0.5*Assumptions!$B$32)</f>
        <v>0.7612395797200223</v>
      </c>
      <c r="F14" s="21">
        <f>1/(1+Assumptions!$B$26)^(5-0.5*Assumptions!$B$32)</f>
        <v>0.7041583296883616</v>
      </c>
      <c r="G14" s="21">
        <f>1/(1+Assumptions!$B$26)^(6-0.5*Assumptions!$B$32)</f>
        <v>0.6513572947059175</v>
      </c>
      <c r="H14" s="21">
        <f>1/(1+Assumptions!$B$26)^(7-0.5*Assumptions!$B$32)</f>
        <v>0.602515524533209</v>
      </c>
      <c r="I14" s="21">
        <f>1/(1+Assumptions!$B$26)^(8-0.5*Assumptions!$B$32)</f>
        <v>0.5573361352580395</v>
      </c>
      <c r="J14" s="21">
        <f>1/(1+Assumptions!$B$26)^(9-0.5*Assumptions!$B$32)</f>
        <v>0.5155445046914257</v>
      </c>
      <c r="K14" s="21">
        <f>1/(1+Assumptions!$B$26)^(10-0.5*Assumptions!$B$32)</f>
        <v>0.47688660308105046</v>
      </c>
    </row>
    <row r="15" spans="1:11" x14ac:dyDescent="0.25">
      <c r="A15" s="19" t="s">
        <v>58</v>
      </c>
      <c r="B15" s="20">
        <f>B13*B14</f>
        <v>4175827489.4758105</v>
      </c>
      <c r="C15" s="20">
        <f>C13*C14</f>
        <v>3810733823.4874835</v>
      </c>
      <c r="D15" s="20">
        <f>D13*D14</f>
        <v>3785290100.998635</v>
      </c>
      <c r="E15" s="20">
        <f>E13*E14</f>
        <v>3735932942.636547</v>
      </c>
      <c r="F15" s="20">
        <f>F13*F14</f>
        <v>3663455446.4731946</v>
      </c>
      <c r="G15" s="20">
        <f>G13*G14</f>
        <v>3569086137.4517727</v>
      </c>
      <c r="H15" s="20">
        <f>H13*H14</f>
        <v>3454454620.190549</v>
      </c>
      <c r="I15" s="20">
        <f>I13*I14</f>
        <v>3321544742.228346</v>
      </c>
      <c r="J15" s="20">
        <f>J13*J14</f>
        <v>3172637144.853151</v>
      </c>
      <c r="K15" s="20">
        <f>K13*K14</f>
        <v>3010243535.974775</v>
      </c>
    </row>
    <row r="17" spans="1:2" x14ac:dyDescent="0.25">
      <c r="A17" s="22" t="s">
        <v>59</v>
      </c>
      <c r="B17" s="23">
        <f>SUM(B15:K15)</f>
        <v>35699205983.77026</v>
      </c>
    </row>
    <row r="19" spans="1:11" x14ac:dyDescent="0.25">
      <c r="A19" t="s">
        <v>7</v>
      </c>
      <c r="B19" s="9">
        <f>Assumptions!$B$10+($B$20-Assumptions!$B$10)*0/9</f>
        <v>0.05933818674773451</v>
      </c>
      <c r="C19" s="9">
        <f>Assumptions!$B$10+($B$20-Assumptions!$B$10)*1/9</f>
        <v>0.06084227588973403</v>
      </c>
      <c r="D19" s="9">
        <f>Assumptions!$B$10+($B$20-Assumptions!$B$10)*2/9</f>
        <v>0.06234636503173356</v>
      </c>
      <c r="E19" s="9">
        <f>Assumptions!$B$10+($B$20-Assumptions!$B$10)*3/9</f>
        <v>0.06385045417373308</v>
      </c>
      <c r="F19" s="9">
        <f>Assumptions!$B$10+($B$20-Assumptions!$B$10)*4/9</f>
        <v>0.06535454331573261</v>
      </c>
      <c r="G19" s="9">
        <f>Assumptions!$B$10+($B$20-Assumptions!$B$10)*5/9</f>
        <v>0.06685863245773213</v>
      </c>
      <c r="H19" s="9">
        <f>Assumptions!$B$10+($B$20-Assumptions!$B$10)*6/9</f>
        <v>0.06836272159973167</v>
      </c>
      <c r="I19" s="9">
        <f>Assumptions!$B$10+($B$20-Assumptions!$B$10)*7/9</f>
        <v>0.06986681074173119</v>
      </c>
      <c r="J19" s="9">
        <f>Assumptions!$B$10+($B$20-Assumptions!$B$10)*8/9</f>
        <v>0.07137089988373072</v>
      </c>
      <c r="K19" s="9">
        <f>Assumptions!$B$10+($B$20-Assumptions!$B$10)*9/9</f>
        <v>0.07287498902573024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0.07287498902573024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6312283709.641475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8136390644.453727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0.19619431188984476</v>
      </c>
    </row>
    <row r="7" spans="1:2" x14ac:dyDescent="0.25">
      <c r="A7" t="s">
        <v>66</v>
      </c>
      <c r="B7" s="18">
        <f>-MAX(B5,0)*B6</f>
        <v>-1596313563.7555695</v>
      </c>
    </row>
    <row r="8" spans="1:2" x14ac:dyDescent="0.25">
      <c r="A8" t="s">
        <v>67</v>
      </c>
      <c r="B8" s="18">
        <f>IF(OR(Assumptions!$B$33=0,Assumptions!B12&lt;=0),B5,MAX(B5+B7,0))</f>
        <v>6540077080.698157</v>
      </c>
    </row>
    <row r="9" spans="1:2" x14ac:dyDescent="0.25">
      <c r="A9" t="s">
        <v>68</v>
      </c>
      <c r="B9" s="18">
        <f>B8*(1+Assumptions!B12)/(Assumptions!B26-Assumptions!B12)</f>
        <v>119572057328.11375</v>
      </c>
    </row>
    <row r="10" spans="1:2" x14ac:dyDescent="0.25">
      <c r="A10" t="s">
        <v>69</v>
      </c>
      <c r="B10" s="18">
        <f>B9/(1+Assumptions!B26)^(10-0.5*Assumptions!B32)</f>
        <v>57022312242.6168</v>
      </c>
    </row>
    <row r="11" spans="1:2" x14ac:dyDescent="0.25">
      <c r="A11" t="s">
        <v>70</v>
      </c>
      <c r="B11" s="18">
        <f>Forecast!B17+B10</f>
        <v>92721518226.38705</v>
      </c>
    </row>
    <row r="12" spans="1:2" x14ac:dyDescent="0.25">
      <c r="A12" t="s">
        <v>71</v>
      </c>
      <c r="B12" s="18">
        <f>-Assumptions!B30</f>
        <v>-7424000000</v>
      </c>
    </row>
    <row r="13" spans="1:2" x14ac:dyDescent="0.25">
      <c r="A13" t="s">
        <v>72</v>
      </c>
      <c r="B13" s="18">
        <f>B11+B12</f>
        <v>85297518226.38705</v>
      </c>
    </row>
    <row r="14" spans="1:2" x14ac:dyDescent="0.25">
      <c r="A14" s="19" t="s">
        <v>73</v>
      </c>
      <c r="B14" s="24">
        <f>B13/Assumptions!B31</f>
        <v>59.35805026192558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12781226650.01762</v>
      </c>
    </row>
    <row r="18" spans="1:2" x14ac:dyDescent="0.25">
      <c r="A18" t="s">
        <v>68</v>
      </c>
      <c r="B18" s="18">
        <f>B17*Assumptions!B13</f>
        <v>146520174250.07492</v>
      </c>
    </row>
    <row r="19" spans="1:2" x14ac:dyDescent="0.25">
      <c r="A19" t="s">
        <v>69</v>
      </c>
      <c r="B19" s="18">
        <f>B18/(1+Assumptions!B26)^(10-0.5*Assumptions!B32)</f>
        <v>69873508180.96182</v>
      </c>
    </row>
    <row r="20" spans="1:2" x14ac:dyDescent="0.25">
      <c r="A20" t="s">
        <v>70</v>
      </c>
      <c r="B20" s="18">
        <f>Forecast!B17+B19</f>
        <v>105572714164.73209</v>
      </c>
    </row>
    <row r="21" spans="1:2" x14ac:dyDescent="0.25">
      <c r="A21" t="s">
        <v>71</v>
      </c>
      <c r="B21" s="18">
        <f>-Assumptions!B30</f>
        <v>-7424000000</v>
      </c>
    </row>
    <row r="22" spans="1:2" x14ac:dyDescent="0.25">
      <c r="A22" t="s">
        <v>72</v>
      </c>
      <c r="B22" s="18">
        <f>B20+B21</f>
        <v>98148714164.73209</v>
      </c>
    </row>
    <row r="23" spans="1:2" x14ac:dyDescent="0.25">
      <c r="A23" s="19" t="s">
        <v>73</v>
      </c>
      <c r="B23" s="25">
        <f>B22/Assumptions!B31</f>
        <v>68.30112328791377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53.74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59.35805026192558</v>
      </c>
    </row>
    <row r="29" spans="1:2" x14ac:dyDescent="0.25">
      <c r="A29" s="19" t="s">
        <v>81</v>
      </c>
      <c r="B29" s="11">
        <f>B28/B26-1</f>
        <v>0.10454131488510554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0.061063</v>
      </c>
      <c r="B5" s="31">
        <v>86.04565398453661</v>
      </c>
      <c r="C5" s="31">
        <v>90.20956427539856</v>
      </c>
      <c r="D5" s="31">
        <v>95.67947762144863</v>
      </c>
      <c r="E5" s="31">
        <v>103.08604933053927</v>
      </c>
      <c r="F5" s="31">
        <v>113.5438815377128</v>
      </c>
    </row>
    <row r="6" spans="1:6" x14ac:dyDescent="0.25">
      <c r="A6" s="30">
        <v>0.071063</v>
      </c>
      <c r="B6" s="31">
        <v>69.18008803388346</v>
      </c>
      <c r="C6" s="31">
        <v>71.10496369398203</v>
      </c>
      <c r="D6" s="31">
        <v>73.55964055759502</v>
      </c>
      <c r="E6" s="31">
        <v>76.73765095437973</v>
      </c>
      <c r="F6" s="31">
        <v>80.93985734718102</v>
      </c>
    </row>
    <row r="7" spans="1:6" x14ac:dyDescent="0.25">
      <c r="A7" s="30">
        <v>0.081063</v>
      </c>
      <c r="B7" s="31">
        <v>57.46515971808079</v>
      </c>
      <c r="C7" s="31">
        <v>58.29425570905261</v>
      </c>
      <c r="D7" s="32">
        <v>59.35815512457948</v>
      </c>
      <c r="E7" s="31">
        <v>60.72583259146215</v>
      </c>
      <c r="F7" s="31">
        <v>62.49621068900149</v>
      </c>
    </row>
    <row r="8" spans="1:6" x14ac:dyDescent="0.25">
      <c r="A8" s="30">
        <v>0.091063</v>
      </c>
      <c r="B8" s="31">
        <v>48.86630041144967</v>
      </c>
      <c r="C8" s="31">
        <v>49.117855409044914</v>
      </c>
      <c r="D8" s="31">
        <v>49.47726451909698</v>
      </c>
      <c r="E8" s="31">
        <v>49.97102188186848</v>
      </c>
      <c r="F8" s="31">
        <v>50.63507319756793</v>
      </c>
    </row>
    <row r="9" spans="1:6" x14ac:dyDescent="0.25">
      <c r="A9" s="30">
        <v>0.101063</v>
      </c>
      <c r="B9" s="31">
        <v>42.29481124470248</v>
      </c>
      <c r="C9" s="31">
        <v>42.22874020734715</v>
      </c>
      <c r="D9" s="31">
        <v>42.211360169958425</v>
      </c>
      <c r="E9" s="31">
        <v>42.25294884385579</v>
      </c>
      <c r="F9" s="31">
        <v>42.36689542827777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35708000000</v>
      </c>
      <c r="C5" s="18">
        <v>36289000000</v>
      </c>
      <c r="D5" s="18">
        <v>33135000000</v>
      </c>
      <c r="E5" s="18">
        <v>28091000000</v>
      </c>
      <c r="F5" s="6" t="s">
        <v>91</v>
      </c>
    </row>
    <row r="6" spans="1:6" x14ac:dyDescent="0.25">
      <c r="A6" t="s">
        <v>51</v>
      </c>
      <c r="B6" s="18">
        <v>5458000000</v>
      </c>
      <c r="C6" s="18">
        <v>6326000000</v>
      </c>
      <c r="D6" s="18">
        <v>5488000000</v>
      </c>
      <c r="E6" s="18">
        <v>4151000000</v>
      </c>
      <c r="F6" s="6" t="s">
        <v>92</v>
      </c>
    </row>
    <row r="7" spans="1:6" x14ac:dyDescent="0.25">
      <c r="A7" t="s">
        <v>93</v>
      </c>
      <c r="B7" s="18">
        <v>2109000000</v>
      </c>
      <c r="C7" s="18">
        <v>1885000000</v>
      </c>
      <c r="D7" s="18">
        <v>1759000000</v>
      </c>
      <c r="E7" s="18">
        <v>1669000000</v>
      </c>
      <c r="F7" s="6" t="s">
        <v>94</v>
      </c>
    </row>
    <row r="8" spans="1:6" x14ac:dyDescent="0.25">
      <c r="A8" t="s">
        <v>95</v>
      </c>
      <c r="B8" s="18">
        <v>1946000000</v>
      </c>
      <c r="C8" s="18">
        <v>2129000000</v>
      </c>
      <c r="D8" s="18">
        <v>2092000000</v>
      </c>
      <c r="E8" s="18">
        <v>1715000000</v>
      </c>
      <c r="F8" s="6" t="s">
        <v>96</v>
      </c>
    </row>
    <row r="9" spans="1:6" x14ac:dyDescent="0.25">
      <c r="A9" t="s">
        <v>97</v>
      </c>
      <c r="B9" s="18">
        <v>44000000</v>
      </c>
      <c r="C9" s="18">
        <v>973000000</v>
      </c>
      <c r="D9" s="18">
        <v>160000000</v>
      </c>
      <c r="E9" s="18">
        <v>1731000000</v>
      </c>
      <c r="F9" s="6" t="s">
        <v>98</v>
      </c>
    </row>
    <row r="10" spans="1:6" x14ac:dyDescent="0.25">
      <c r="A10" t="s">
        <v>99</v>
      </c>
      <c r="B10" s="18">
        <v>11636000000</v>
      </c>
      <c r="C10" s="18">
        <v>12074000000</v>
      </c>
      <c r="D10" s="18">
        <v>11965000000</v>
      </c>
      <c r="E10" s="18">
        <v>12226000000</v>
      </c>
      <c r="F10" s="6" t="s">
        <v>100</v>
      </c>
    </row>
    <row r="11" spans="1:6" x14ac:dyDescent="0.25">
      <c r="A11" t="s">
        <v>101</v>
      </c>
      <c r="B11" s="18">
        <v>4212000000</v>
      </c>
      <c r="C11" s="18">
        <v>4669000000</v>
      </c>
      <c r="D11" s="18">
        <v>3989000000</v>
      </c>
      <c r="E11" s="18">
        <v>2894000000</v>
      </c>
      <c r="F11" s="6" t="s">
        <v>102</v>
      </c>
    </row>
    <row r="12" spans="1:6" x14ac:dyDescent="0.25">
      <c r="A12" t="s">
        <v>34</v>
      </c>
      <c r="B12" s="34">
        <v>1437000000</v>
      </c>
      <c r="C12" s="34">
        <v>1436000000</v>
      </c>
      <c r="D12" s="34">
        <v>1443000000</v>
      </c>
      <c r="E12" s="34">
        <v>1437000000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