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<sst xmlns="http://schemas.openxmlformats.org/spreadsheetml/2006/main" count="117" uniqueCount="104">
  <si>
    <t>Sun Life Financial Inc. (SLF.TO)</t>
  </si>
  <si>
    <t>DCF Studio - Base case</t>
  </si>
  <si>
    <t>Blue figures on a cream fill are inputs. Every other figure is a formula - change an input and the model reprices. Currency figures are CAD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</si>
  <si>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</si>
  <si>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</si>
  <si>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</si>
  <si>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</si>
  <si>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</si>
  <si>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</si>
  <si>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</si>
  <si>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</si>
  <si>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</si>
  <si>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</si>
  <si>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</si>
  <si>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Discount rate</t>
  </si>
  <si>
    <t>Risk-free rate</t>
  </si>
  <si>
    <t>CAD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</si>
  <si>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</si>
  <si>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</si>
  <si>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</si>
  <si>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</si>
  <si>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</si>
  <si>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Floored at the risk-free rate (implied cost of debt was lower)</t>
  </si>
  <si>
    <t>Market capitalisation (CAD m)</t>
  </si>
  <si>
    <t>Total debt (CAD m)</t>
  </si>
  <si>
    <t>Equity weight</t>
  </si>
  <si>
    <t>Debt weight</t>
  </si>
  <si>
    <t>WACC</t>
  </si>
  <si>
    <t>Base year</t>
  </si>
  <si>
    <t>Revenue, last reported year (CAD m)</t>
  </si>
  <si>
    <t>Fiscal year ended 2025-12-31</t>
  </si>
  <si>
    <t>Net debt (CAD m)</t>
  </si>
  <si>
    <t>Diluted shares</t>
  </si>
  <si>
    <t>Mid-year discounting (1 = yes, 0 = no)</t>
  </si>
  <si>
    <t>Terminal year on a steady-state footing (1 = yes, 0 = no)</t>
  </si>
  <si>
    <t>Forecast cashflows (CAD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</si>
  <si>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</si>
  <si>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</si>
  <si>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</si>
  <si>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</si>
  <si>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</si>
  <si>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</si>
  <si>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</si>
  <si>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</si>
  <si>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</si>
  <si>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</si>
  <si>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</si>
  <si>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</si>
  <si>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</si>
  <si>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</si>
  <si>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</si>
  <si>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</si>
  <si>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</si>
  <si>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(CAD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</si>
  <si>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</si>
  <si>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</si>
  <si>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</si>
  <si>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</si>
  <si>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</si>
  <si>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</si>
  <si>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</si>
  <si>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</si>
  <si>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</si>
  <si>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</si>
  <si>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</si>
  <si>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</si>
  <si>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</si>
  <si>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</si>
  <si>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</si>
  <si>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(CAD)</t>
  </si>
  <si>
    <t>Conversion, CAD to CAD</t>
  </si>
  <si>
    <t>Same currency, no conversion</t>
  </si>
  <si>
    <t>Value per share (CAD)</t>
  </si>
  <si>
    <t>Implied upside</t>
  </si>
  <si>
    <t>Value per share (CAD)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</si>
  <si>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</si>
  <si>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(CAD m, except shares)</t>
  </si>
  <si>
    <t>What the model was built from. "derived" means the figure was not reported and was computed - the note says how.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</si>
  <si>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</si>
  <si>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</si>
  <si>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</si>
  <si>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</si>
  <si>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</si>
  <si>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</si>
  <si>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</si>
  <si>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derived</t>
  </si>
  <si>
    <t>Depreciation &amp; amortisation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</si>
  <si>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</si>
  <si>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</si>
  <si>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</si>
  <si>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</si>
  <si>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</si>
  <si>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</si>
  <si>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</si>
  <si>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</si>
  <si>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</si>
  <si>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</si>
  <si>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Wrong tool: This is a financial. Banks and insurers report no meaningful operating income, and capex and working capital do not mean what a free-cashflow model assumes, so a DCF will misprice it. The model below runs on best-effort numbers - treat it as an illustration, not a valuation.</t>
  </si>
  <si>
    <t>Wrong tool: This model values the shares at 20.0x the market price. A gap that size is a modelling failure rather than a view - most often an unusable beta, a currency or units mismatch, or a cashflow base that does not represent the business. Read the figures below as diagnostics, not as a call.</t>
  </si>
  <si>
    <t>Adjusted: Some line items were not reported and have been derived. Each one is labelled in the workings below.</t>
  </si>
  <si>
    <t>Adjusted: Consensus rests on as few as 1 analyst estimate(s).</t>
  </si>
  <si>
    <t>Adjusted: Reported capital expenditure averages just 0.32% of revenue, which is too low to be the company's real investment - property trusts and similar structures invest through lines that are not reported as capex. Capex has been set to 3.85% of revenue so the forecast is not handed free growth. The accounts do not separate depreciation from amortisation, so the combined charge is used - if a large part of it is amortisation of an acquisition, the reported capex is probably right and this substitution is not. Override it if the reported figure is right.</t>
  </si>
  <si>
    <t>Note: Risk-free rate is an assumption: CAD assumption - no free live source available for this market.</t>
  </si>
  <si>
    <t>Data: Yahoo Finance. Risk-free rate: CAD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</si>
</sst>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0.5</v>
      </c>
    </row>
    <row r="7" spans="1:2" x14ac:dyDescent="0.25">
      <c r="A7" t="s">
        <v>5</v>
      </c>
      <c r="B7" s="6">
        <v>0.35404502279257966</v>
      </c>
    </row>
    <row r="8" spans="1:2" x14ac:dyDescent="0.25">
      <c r="A8" t="s">
        <v>6</v>
      </c>
      <c r="B8" s="6">
        <v>0.1811670242266324</v>
      </c>
    </row>
    <row r="9" spans="1:2" x14ac:dyDescent="0.25">
      <c r="A9" t="s">
        <v>7</v>
      </c>
      <c r="B9" s="6">
        <v>0.03849518810148731</v>
      </c>
    </row>
    <row r="10" spans="1:2" x14ac:dyDescent="0.25">
      <c r="A10" t="s">
        <v>8</v>
      </c>
      <c r="B10" s="6">
        <v>0.03849518810148731</v>
      </c>
    </row>
    <row r="11" spans="1:2" x14ac:dyDescent="0.25">
      <c r="A11" t="s">
        <v>9</v>
      </c>
      <c r="B11" s="6">
        <v>-0.21594533029612756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11.2820246436015</v>
      </c>
    </row>
    <row r="14" spans="1:3" x14ac:dyDescent="0.25">
      <c r="A14" t="s">
        <v>12</v>
      </c>
      <c r="B14" s="6">
        <v>0.08688174547706115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0.033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0.86734</v>
      </c>
      <c r="C19" s="8" t="s">
        <v>19</v>
      </c>
    </row>
    <row r="20" spans="1:2" x14ac:dyDescent="0.25">
      <c r="A20" t="s">
        <v>20</v>
      </c>
      <c r="B20" s="10">
        <f>B17+B19*B18</f>
        <v>0.0807037</v>
      </c>
    </row>
    <row r="21" spans="1:3" x14ac:dyDescent="0.25">
      <c r="A21" t="s">
        <v>21</v>
      </c>
      <c r="B21" s="6">
        <v>0.033</v>
      </c>
      <c r="C21" s="8" t="s">
        <v>22</v>
      </c>
    </row>
    <row r="22" spans="1:2" x14ac:dyDescent="0.25">
      <c r="A22" t="s">
        <v>23</v>
      </c>
      <c r="B22" s="11">
        <v>63270154240</v>
      </c>
    </row>
    <row r="23" spans="1:2" x14ac:dyDescent="0.25">
      <c r="A23" t="s">
        <v>24</v>
      </c>
      <c r="B23" s="11">
        <v>18792000000</v>
      </c>
    </row>
    <row r="24" spans="1:2" x14ac:dyDescent="0.25">
      <c r="A24" t="s">
        <v>25</v>
      </c>
      <c r="B24" s="10">
        <f>B22/(B22+B23)</f>
        <v>0.7710028432224594</v>
      </c>
    </row>
    <row r="25" spans="1:2" x14ac:dyDescent="0.25">
      <c r="A25" t="s">
        <v>26</v>
      </c>
      <c r="B25" s="10">
        <f>1-B24</f>
        <v>0.22899715677754062</v>
      </c>
    </row>
    <row r="26" spans="1:2" x14ac:dyDescent="0.25">
      <c r="A26" t="s">
        <v>27</v>
      </c>
      <c r="B26" s="12">
        <f>B24*B20+B25*B21*(1-B8)</f>
        <v>0.06841062612838959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38447000000</v>
      </c>
      <c r="C29" s="8" t="s">
        <v>30</v>
      </c>
    </row>
    <row r="30" spans="1:2" x14ac:dyDescent="0.25">
      <c r="A30" t="s">
        <v>31</v>
      </c>
      <c r="B30" s="11">
        <v>-9139000000</v>
      </c>
    </row>
    <row r="31" spans="1:2" x14ac:dyDescent="0.25">
      <c r="A31" t="s">
        <v>32</v>
      </c>
      <c r="B31" s="13">
        <v>566000000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0.5</v>
      </c>
      <c r="C5" s="10">
        <f>Assumptions!B6</f>
        <v>0.5</v>
      </c>
      <c r="D5" s="10">
        <f>Assumptions!B6</f>
        <v>0.5</v>
      </c>
      <c r="E5" s="10">
        <f>Assumptions!B6</f>
        <v>0.5</v>
      </c>
      <c r="F5" s="10">
        <f>Assumptions!B6</f>
        <v>0.5</v>
      </c>
    </row>
    <row r="6" spans="1:6" x14ac:dyDescent="0.25">
      <c r="A6" t="s">
        <v>43</v>
      </c>
      <c r="B6" s="18">
        <f>Assumptions!B29*(1+B5)</f>
        <v>57670500000</v>
      </c>
      <c r="C6" s="18">
        <f>B6*(1+C5)</f>
        <v>86505750000</v>
      </c>
      <c r="D6" s="18">
        <f>C6*(1+D5)</f>
        <v>129758625000</v>
      </c>
      <c r="E6" s="18">
        <f>D6*(1+E5)</f>
        <v>194637937500</v>
      </c>
      <c r="F6" s="18">
        <f>E6*(1+F5)</f>
        <v>291956906250</v>
      </c>
    </row>
    <row r="7" spans="1:6" x14ac:dyDescent="0.25">
      <c r="A7" t="s">
        <v>5</v>
      </c>
      <c r="B7" s="10">
        <f>Assumptions!B7</f>
        <v>0.35404502279257966</v>
      </c>
      <c r="C7" s="10">
        <f>Assumptions!B7</f>
        <v>0.35404502279257966</v>
      </c>
      <c r="D7" s="10">
        <f>Assumptions!B7</f>
        <v>0.35404502279257966</v>
      </c>
      <c r="E7" s="10">
        <f>Assumptions!B7</f>
        <v>0.35404502279257966</v>
      </c>
      <c r="F7" s="10">
        <f>Assumptions!B7</f>
        <v>0.35404502279257966</v>
      </c>
    </row>
    <row r="8" spans="1:6" x14ac:dyDescent="0.25">
      <c r="A8" t="s">
        <v>44</v>
      </c>
      <c r="B8" s="18">
        <f>B6*B7</f>
        <v>20417953486.959465</v>
      </c>
      <c r="C8" s="18">
        <f>C6*C7</f>
        <v>30626930230.439198</v>
      </c>
      <c r="D8" s="18">
        <f>D6*D7</f>
        <v>45940395345.6588</v>
      </c>
      <c r="E8" s="18">
        <f>E6*E7</f>
        <v>68910593018.48819</v>
      </c>
      <c r="F8" s="18">
        <f>F6*F7</f>
        <v>103365889527.73228</v>
      </c>
    </row>
    <row r="9" spans="1:6" x14ac:dyDescent="0.25">
      <c r="A9" t="s">
        <v>45</v>
      </c>
      <c r="B9" s="18">
        <f>B8*(1-Assumptions!B8)</f>
        <v>16718893612.929228</v>
      </c>
      <c r="C9" s="18">
        <f>C8*(1-Assumptions!B8)</f>
        <v>25078340419.39384</v>
      </c>
      <c r="D9" s="18">
        <f>D8*(1-Assumptions!B8)</f>
        <v>37617510629.09077</v>
      </c>
      <c r="E9" s="18">
        <f>E8*(1-Assumptions!B8)</f>
        <v>56426265943.63614</v>
      </c>
      <c r="F9" s="18">
        <f>F8*(1-Assumptions!B8)</f>
        <v>84639398915.45421</v>
      </c>
    </row>
    <row r="10" spans="1:6" x14ac:dyDescent="0.25">
      <c r="A10" t="s">
        <v>46</v>
      </c>
      <c r="B10" s="18">
        <f>B6*Assumptions!B9</f>
        <v>2220036745.406824</v>
      </c>
      <c r="C10" s="18">
        <f>C6*Assumptions!B9</f>
        <v>3330055118.110236</v>
      </c>
      <c r="D10" s="18">
        <f>D6*Assumptions!B9</f>
        <v>4995082677.165354</v>
      </c>
      <c r="E10" s="18">
        <f>E6*Assumptions!B9</f>
        <v>7492624015.748031</v>
      </c>
      <c r="F10" s="18">
        <f>F6*Assumptions!B9</f>
        <v>11238936023.622046</v>
      </c>
    </row>
    <row r="11" spans="1:6" x14ac:dyDescent="0.25">
      <c r="A11" t="s">
        <v>47</v>
      </c>
      <c r="B11" s="18">
        <f>-B6*Assumptions!B10</f>
        <v>-2220036745.406824</v>
      </c>
      <c r="C11" s="18">
        <f>-C6*Assumptions!B10</f>
        <v>-3330055118.110236</v>
      </c>
      <c r="D11" s="18">
        <f>-D6*Assumptions!B10</f>
        <v>-4995082677.165354</v>
      </c>
      <c r="E11" s="18">
        <f>-E6*Assumptions!B10</f>
        <v>-7492624015.748031</v>
      </c>
      <c r="F11" s="18">
        <f>-F6*Assumptions!B10</f>
        <v>-11238936023.622046</v>
      </c>
    </row>
    <row r="12" spans="1:6" x14ac:dyDescent="0.25">
      <c r="A12" t="s">
        <v>48</v>
      </c>
      <c r="B12" s="18">
        <f>-(B6-Assumptions!B29)*Assumptions!B11</f>
        <v>4151225056.947608</v>
      </c>
      <c r="C12" s="18">
        <f>-(C6-B6)*Assumptions!B11</f>
        <v>6226837585.421412</v>
      </c>
      <c r="D12" s="18">
        <f>-(D6-C6)*Assumptions!B11</f>
        <v>9340256378.132118</v>
      </c>
      <c r="E12" s="18">
        <f>-(E6-D6)*Assumptions!B11</f>
        <v>14010384567.198177</v>
      </c>
      <c r="F12" s="18">
        <f>-(F6-E6)*Assumptions!B11</f>
        <v>21015576850.797268</v>
      </c>
    </row>
    <row r="13" spans="1:6" x14ac:dyDescent="0.25">
      <c r="A13" s="19" t="s">
        <v>49</v>
      </c>
      <c r="B13" s="20">
        <f>B9+B10+B11+B12</f>
        <v>20870118669.876835</v>
      </c>
      <c r="C13" s="20">
        <f>C9+C10+C11+C12</f>
        <v>31305178004.815254</v>
      </c>
      <c r="D13" s="20">
        <f>D9+D10+D11+D12</f>
        <v>46957767007.222885</v>
      </c>
      <c r="E13" s="20">
        <f>E9+E10+E11+E12</f>
        <v>70436650510.83432</v>
      </c>
      <c r="F13" s="20">
        <f>F9+F10+F11+F12</f>
        <v>105654975766.25148</v>
      </c>
    </row>
    <row r="14" spans="1:6" x14ac:dyDescent="0.25">
      <c r="A14" t="s">
        <v>50</v>
      </c>
      <c r="B14" s="21">
        <f>1/(1+Assumptions!$B$26)^(1-0.5*Assumptions!$B$32)</f>
        <v>0.9674552832408828</v>
      </c>
      <c r="C14" s="21">
        <f>1/(1+Assumptions!$B$26)^(2-0.5*Assumptions!$B$32)</f>
        <v>0.9055088554731623</v>
      </c>
      <c r="D14" s="21">
        <f>1/(1+Assumptions!$B$26)^(3-0.5*Assumptions!$B$32)</f>
        <v>0.8475288745062972</v>
      </c>
      <c r="E14" s="21">
        <f>1/(1+Assumptions!$B$26)^(4-0.5*Assumptions!$B$32)</f>
        <v>0.7932613676611361</v>
      </c>
      <c r="F14" s="21">
        <f>1/(1+Assumptions!$B$26)^(5-0.5*Assumptions!$B$32)</f>
        <v>0.7424686241989986</v>
      </c>
    </row>
    <row r="15" spans="1:6" x14ac:dyDescent="0.25">
      <c r="A15" s="19" t="s">
        <v>51</v>
      </c>
      <c r="B15" s="20">
        <f>B13*B14</f>
        <v>20190906569.03653</v>
      </c>
      <c r="C15" s="20">
        <f>C13*C14</f>
        <v>28347115905.523876</v>
      </c>
      <c r="D15" s="20">
        <f>D13*D14</f>
        <v>39798063420.96055</v>
      </c>
      <c r="E15" s="20">
        <f>E13*E14</f>
        <v>55874673717.69389</v>
      </c>
      <c r="F15" s="20">
        <f>F13*F14</f>
        <v>78445504496.94728</v>
      </c>
    </row>
    <row r="17" spans="1:2" x14ac:dyDescent="0.25">
      <c r="A17" s="22" t="s">
        <v>52</v>
      </c>
      <c r="B17" s="23">
        <f>SUM(B15:F15)</f>
        <v>222656264110.1621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105654975766.25148</v>
      </c>
    </row>
    <row r="5" spans="1:2" x14ac:dyDescent="0.25">
      <c r="A5" t="s">
        <v>56</v>
      </c>
      <c r="B5" s="18">
        <f>IF(Assumptions!$B$33=0,B4,B4-Forecast!F11-Forecast!F10-Forecast!F12)</f>
        <v>84639398915.45421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0.2877474417983533</v>
      </c>
    </row>
    <row r="7" spans="1:2" x14ac:dyDescent="0.25">
      <c r="A7" t="s">
        <v>58</v>
      </c>
      <c r="B7" s="18">
        <f>-MAX(Forecast!F9,0)*B6</f>
        <v>-24354770513.27227</v>
      </c>
    </row>
    <row r="8" spans="1:2" x14ac:dyDescent="0.25">
      <c r="A8" t="s">
        <v>59</v>
      </c>
      <c r="B8" s="18">
        <f>IF(OR(Assumptions!$B$33=0,Assumptions!B12&lt;=0),B5,MAX(B5+B7,0))</f>
        <v>60284628402.18194</v>
      </c>
    </row>
    <row r="9" spans="1:2" x14ac:dyDescent="0.25">
      <c r="A9" t="s">
        <v>60</v>
      </c>
      <c r="B9" s="18">
        <f>B8*(1+Assumptions!B12)/(Assumptions!B26-Assumptions!B12)</f>
        <v>1423424392209.4927</v>
      </c>
    </row>
    <row r="10" spans="1:2" x14ac:dyDescent="0.25">
      <c r="A10" t="s">
        <v>61</v>
      </c>
      <c r="B10" s="18">
        <f>B9/(1+Assumptions!B26)^(5-0.5*Assumptions!B32)</f>
        <v>1056847950135.0779</v>
      </c>
    </row>
    <row r="11" spans="1:2" x14ac:dyDescent="0.25">
      <c r="A11" t="s">
        <v>62</v>
      </c>
      <c r="B11" s="18">
        <f>Forecast!B17+B10</f>
        <v>1279504214245.24</v>
      </c>
    </row>
    <row r="12" spans="1:2" x14ac:dyDescent="0.25">
      <c r="A12" t="s">
        <v>63</v>
      </c>
      <c r="B12" s="18">
        <f>-Assumptions!B30</f>
        <v>9139000000</v>
      </c>
    </row>
    <row r="13" spans="1:2" x14ac:dyDescent="0.25">
      <c r="A13" t="s">
        <v>64</v>
      </c>
      <c r="B13" s="18">
        <f>B11+B12</f>
        <v>1288643214245.24</v>
      </c>
    </row>
    <row r="14" spans="1:2" x14ac:dyDescent="0.25">
      <c r="A14" s="19" t="s">
        <v>65</v>
      </c>
      <c r="B14" s="24">
        <f>B13/Assumptions!B31</f>
        <v>2276.75479548629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114604825551.35432</v>
      </c>
    </row>
    <row r="18" spans="1:2" x14ac:dyDescent="0.25">
      <c r="A18" t="s">
        <v>60</v>
      </c>
      <c r="B18" s="18">
        <f>B17*Assumptions!B13</f>
        <v>1292974466146.0305</v>
      </c>
    </row>
    <row r="19" spans="1:2" x14ac:dyDescent="0.25">
      <c r="A19" t="s">
        <v>61</v>
      </c>
      <c r="B19" s="18">
        <f>B18/(1+Assumptions!B26)^(5-0.5*Assumptions!B32)</f>
        <v>959992973003.878</v>
      </c>
    </row>
    <row r="20" spans="1:2" x14ac:dyDescent="0.25">
      <c r="A20" t="s">
        <v>62</v>
      </c>
      <c r="B20" s="18">
        <f>Forecast!B17+B19</f>
        <v>1182649237114.04</v>
      </c>
    </row>
    <row r="21" spans="1:2" x14ac:dyDescent="0.25">
      <c r="A21" t="s">
        <v>63</v>
      </c>
      <c r="B21" s="18">
        <f>-Assumptions!B30</f>
        <v>9139000000</v>
      </c>
    </row>
    <row r="22" spans="1:2" x14ac:dyDescent="0.25">
      <c r="A22" t="s">
        <v>64</v>
      </c>
      <c r="B22" s="18">
        <f>B20+B21</f>
        <v>1191788237114.04</v>
      </c>
    </row>
    <row r="23" spans="1:2" x14ac:dyDescent="0.25">
      <c r="A23" s="19" t="s">
        <v>65</v>
      </c>
      <c r="B23" s="25">
        <f>B22/Assumptions!B31</f>
        <v>2105.6329277633217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113.79</v>
      </c>
    </row>
    <row r="27" spans="1:3" x14ac:dyDescent="0.25">
      <c r="A27" t="s">
        <v>70</v>
      </c>
      <c r="B27" s="27">
        <v>1</v>
      </c>
      <c r="C27" s="8" t="s">
        <v>71</v>
      </c>
    </row>
    <row r="28" spans="1:2" x14ac:dyDescent="0.25">
      <c r="A28" t="s">
        <v>72</v>
      </c>
      <c r="B28" s="28">
        <f>B14*B27</f>
        <v>2276.75479548629</v>
      </c>
    </row>
    <row r="29" spans="1:2" x14ac:dyDescent="0.25">
      <c r="A29" s="19" t="s">
        <v>73</v>
      </c>
      <c r="B29" s="12">
        <f>B28/B26-1</f>
        <v>19.00839085584225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0.048411</v>
      </c>
      <c r="B5" s="31">
        <v>3472.0635169860375</v>
      </c>
      <c r="C5" s="31">
        <v>3774.611604331004</v>
      </c>
      <c r="D5" s="31">
        <v>4203.421428027593</v>
      </c>
      <c r="E5" s="31">
        <v>4861.362253475532</v>
      </c>
      <c r="F5" s="31">
        <v>6004.713629274496</v>
      </c>
    </row>
    <row r="6" spans="1:6" x14ac:dyDescent="0.25">
      <c r="A6" s="30">
        <v>0.058411</v>
      </c>
      <c r="B6" s="31">
        <v>2661.996586421716</v>
      </c>
      <c r="C6" s="31">
        <v>2789.12461047369</v>
      </c>
      <c r="D6" s="31">
        <v>2952.3072908207423</v>
      </c>
      <c r="E6" s="31">
        <v>3170.5802067957407</v>
      </c>
      <c r="F6" s="31">
        <v>3479.2410190889277</v>
      </c>
    </row>
    <row r="7" spans="1:6" x14ac:dyDescent="0.25">
      <c r="A7" s="30">
        <v>0.068411</v>
      </c>
      <c r="B7" s="31">
        <v>2155.1890636311496</v>
      </c>
      <c r="C7" s="31">
        <v>2210.3453466827523</v>
      </c>
      <c r="D7" s="32">
        <v>2276.7353407969067</v>
      </c>
      <c r="E7" s="31">
        <v>2358.7459576900046</v>
      </c>
      <c r="F7" s="31">
        <v>2463.390137462138</v>
      </c>
    </row>
    <row r="8" spans="1:6" x14ac:dyDescent="0.25">
      <c r="A8" s="30">
        <v>0.078411</v>
      </c>
      <c r="B8" s="31">
        <v>1808.1923907650225</v>
      </c>
      <c r="C8" s="31">
        <v>1829.4314329816177</v>
      </c>
      <c r="D8" s="31">
        <v>1853.4998091043867</v>
      </c>
      <c r="E8" s="31">
        <v>1881.2741795739869</v>
      </c>
      <c r="F8" s="31">
        <v>1914.035093449469</v>
      </c>
    </row>
    <row r="9" spans="1:6" x14ac:dyDescent="0.25">
      <c r="A9" s="30">
        <v>0.088411</v>
      </c>
      <c r="B9" s="31">
        <v>1559.9349058802259</v>
      </c>
      <c r="C9" s="31">
        <v>1565.7112318101033</v>
      </c>
      <c r="D9" s="31">
        <v>1571.4875577399803</v>
      </c>
      <c r="E9" s="31">
        <v>1577.2638836698573</v>
      </c>
      <c r="F9" s="31">
        <v>1583.0402095997345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38447000000</v>
      </c>
      <c r="C5" s="18">
        <v>34483000000</v>
      </c>
      <c r="D5" s="18">
        <v>36354000000</v>
      </c>
      <c r="E5" s="18">
        <v>3429000000</v>
      </c>
      <c r="F5" s="8" t="s">
        <v>84</v>
      </c>
    </row>
    <row r="6" spans="1:6" x14ac:dyDescent="0.25">
      <c r="A6" t="s">
        <v>44</v>
      </c>
      <c r="B6" s="18">
        <v>4798000000</v>
      </c>
      <c r="C6" s="18">
        <v>4339000000</v>
      </c>
      <c r="D6" s="18">
        <v>3930000000</v>
      </c>
      <c r="E6" s="18">
        <v>3626000000</v>
      </c>
      <c r="F6" s="8" t="s">
        <v>85</v>
      </c>
    </row>
    <row r="7" spans="1:6" x14ac:dyDescent="0.25">
      <c r="A7" t="s">
        <v>86</v>
      </c>
      <c r="B7" s="18">
        <v>0</v>
      </c>
      <c r="C7" s="18">
        <v>0</v>
      </c>
      <c r="D7" s="18">
        <v>0</v>
      </c>
      <c r="E7" s="18">
        <v>528000000</v>
      </c>
      <c r="F7" s="8" t="s">
        <v>85</v>
      </c>
    </row>
    <row r="8" spans="1:6" x14ac:dyDescent="0.25">
      <c r="A8" t="s">
        <v>87</v>
      </c>
      <c r="B8" s="18">
        <v>145000000</v>
      </c>
      <c r="C8" s="18">
        <v>143000000</v>
      </c>
      <c r="D8" s="18">
        <v>172000000</v>
      </c>
      <c r="E8" s="18">
        <v>0</v>
      </c>
      <c r="F8" s="8" t="s">
        <v>88</v>
      </c>
    </row>
    <row r="9" spans="1:6" x14ac:dyDescent="0.25">
      <c r="A9" t="s">
        <v>89</v>
      </c>
      <c r="B9" s="18">
        <v>-3567000000</v>
      </c>
      <c r="C9" s="18">
        <v>-2390000000</v>
      </c>
      <c r="D9" s="18">
        <v>-7110000000</v>
      </c>
      <c r="E9" s="18">
        <v>24296000000</v>
      </c>
      <c r="F9" s="8" t="s">
        <v>90</v>
      </c>
    </row>
    <row r="10" spans="1:6" x14ac:dyDescent="0.25">
      <c r="A10" t="s">
        <v>91</v>
      </c>
      <c r="B10" s="18">
        <v>18792000000</v>
      </c>
      <c r="C10" s="18">
        <v>16869000000</v>
      </c>
      <c r="D10" s="18">
        <v>15396000000</v>
      </c>
      <c r="E10" s="18">
        <v>15550000000</v>
      </c>
      <c r="F10" s="8" t="s">
        <v>92</v>
      </c>
    </row>
    <row r="11" spans="1:6" x14ac:dyDescent="0.25">
      <c r="A11" t="s">
        <v>93</v>
      </c>
      <c r="B11" s="18">
        <v>27931000000</v>
      </c>
      <c r="C11" s="18">
        <v>27796000000</v>
      </c>
      <c r="D11" s="18">
        <v>27554000000</v>
      </c>
      <c r="E11" s="18">
        <v>27764000000</v>
      </c>
      <c r="F11" s="8" t="s">
        <v>94</v>
      </c>
    </row>
    <row r="12" spans="1:6" x14ac:dyDescent="0.25">
      <c r="A12" t="s">
        <v>32</v>
      </c>
      <c r="B12" s="34">
        <v>566000000</v>
      </c>
      <c r="C12" s="34">
        <v>582000000</v>
      </c>
      <c r="D12" s="34">
        <v>589000000</v>
      </c>
      <c r="E12" s="34">
        <v>589000000</v>
      </c>
      <c r="F12" s="8" t="s">
        <v>95</v>
      </c>
    </row>
    <row r="15" spans="1:1" x14ac:dyDescent="0.25">
      <c r="A15" s="19" t="s">
        <v>96</v>
      </c>
    </row>
    <row r="16" ht="54" customHeight="1" spans="1:6" x14ac:dyDescent="0.25">
      <c r="A16" s="35" t="s">
        <v>97</v>
      </c>
      <c r="B16" s="35"/>
      <c r="C16" s="35"/>
      <c r="D16" s="35"/>
      <c r="E16" s="35"/>
      <c r="F16" s="35"/>
    </row>
    <row r="17" ht="54" customHeight="1" spans="1:6" x14ac:dyDescent="0.25">
      <c r="A17" s="35" t="s">
        <v>98</v>
      </c>
      <c r="B17" s="35"/>
      <c r="C17" s="35"/>
      <c r="D17" s="35"/>
      <c r="E17" s="35"/>
      <c r="F17" s="35"/>
    </row>
    <row r="18" ht="22" customHeight="1" spans="1:6" x14ac:dyDescent="0.25">
      <c r="A18" s="35" t="s">
        <v>99</v>
      </c>
      <c r="B18" s="35"/>
      <c r="C18" s="35"/>
      <c r="D18" s="35"/>
      <c r="E18" s="35"/>
      <c r="F18" s="35"/>
    </row>
    <row r="19" ht="22" customHeight="1" spans="1:6" x14ac:dyDescent="0.25">
      <c r="A19" s="35" t="s">
        <v>100</v>
      </c>
      <c r="B19" s="35"/>
      <c r="C19" s="35"/>
      <c r="D19" s="35"/>
      <c r="E19" s="35"/>
      <c r="F19" s="35"/>
    </row>
    <row r="20" ht="86" customHeight="1" spans="1:6" x14ac:dyDescent="0.25">
      <c r="A20" s="35" t="s">
        <v>101</v>
      </c>
      <c r="B20" s="35"/>
      <c r="C20" s="35"/>
      <c r="D20" s="35"/>
      <c r="E20" s="35"/>
      <c r="F20" s="35"/>
    </row>
    <row r="21" ht="22" customHeight="1" spans="1:6" x14ac:dyDescent="0.25">
      <c r="A21" s="35" t="s">
        <v>102</v>
      </c>
      <c r="B21" s="35"/>
      <c r="C21" s="35"/>
      <c r="D21" s="35"/>
      <c r="E21" s="35"/>
      <c r="F21" s="35"/>
    </row>
    <row r="23" spans="1:1" x14ac:dyDescent="0.25">
      <c r="A23" s="36" t="s">
        <v>103</v>
      </c>
    </row>
  </sheetData>
  <mergeCells count="6">
    <mergeCell ref="A16:F16"/>
    <mergeCell ref="A17:F17"/>
    <mergeCell ref="A18:F18"/>
    <mergeCell ref="A19:F19"/>
    <mergeCell ref="A20:F20"/>
    <mergeCell ref="A21:F2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2026-09-19T01:03:10Z</dcterms:modified>
</cp:coreProperties>
</file>