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<sst xmlns="http://schemas.openxmlformats.org/spreadsheetml/2006/main" count="124" uniqueCount="105">
  <si>
    <t>Swiss Life Holding AG (SLHN.SW)</t>
  </si>
  <si>
    <t>DCF Studio - Base case</t>
  </si>
  <si>
    <t>Blue figures on a cream fill are inputs. Every other figure is a formula - change an input and the model reprices. Currency figures are CHF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</si>
  <si>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</si>
  <si>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</si>
  <si>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</si>
  <si>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</si>
  <si>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</si>
  <si>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</si>
  <si>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</si>
  <si>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</si>
  <si>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</si>
  <si>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</si>
  <si>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From reported invested capital</t>
  </si>
  <si>
    <t>Discount rate</t>
  </si>
  <si>
    <t>Risk-free rate</t>
  </si>
  <si>
    <t>CHF assumption - no free live source available for this market</t>
  </si>
  <si>
    <t>Equity risk premium</t>
  </si>
  <si>
    <t>Beta</t>
  </si>
  <si>
    <t>As reported</t>
  </si>
  <si>
    <t>Cost of equity</t>
  </si>
  <si>
    <t>Cost of debt</t>
  </si>
  <si>
    <t>Interest expense / average total debt</t>
  </si>
  <si>
    <t>Market capitalisation (CHF m)</t>
  </si>
  <si>
    <t>Total debt (CHF m)</t>
  </si>
  <si>
    <t>Equity weight</t>
  </si>
  <si>
    <t>Debt weight</t>
  </si>
  <si>
    <t>WACC</t>
  </si>
  <si>
    <t>Base year</t>
  </si>
  <si>
    <t>Revenue, last reported year (CHF m)</t>
  </si>
  <si>
    <t>Fiscal year ended 2025-12-31</t>
  </si>
  <si>
    <t>Net debt (CHF m)</t>
  </si>
  <si>
    <t>Diluted shares</t>
  </si>
  <si>
    <t>Mid-year discounting (1 = yes, 0 = no)</t>
  </si>
  <si>
    <t>Terminal year on a steady-state footing (1 = yes, 0 = no)</t>
  </si>
  <si>
    <t>Forecast cashflows (CHF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</si>
  <si>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</si>
  <si>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</si>
  <si>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</si>
  <si>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</si>
  <si>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</si>
  <si>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</si>
  <si>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</si>
  <si>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</si>
  <si>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</si>
  <si>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</si>
  <si>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</si>
  <si>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</si>
  <si>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</si>
  <si>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</si>
  <si>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</si>
  <si>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</si>
  <si>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</si>
  <si>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(CHF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</si>
  <si>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</si>
  <si>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</si>
  <si>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</si>
  <si>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</si>
  <si>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</si>
  <si>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</si>
  <si>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</si>
  <si>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</si>
  <si>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</si>
  <si>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</si>
  <si>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</si>
  <si>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</si>
  <si>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</si>
  <si>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</si>
  <si>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</si>
  <si>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(CHF)</t>
  </si>
  <si>
    <t>Conversion, CHF to CHF</t>
  </si>
  <si>
    <t>Same currency, no conversion</t>
  </si>
  <si>
    <t>Value per share (CHF)</t>
  </si>
  <si>
    <t>Implied upside</t>
  </si>
  <si>
    <t>Value per share (CHF)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</si>
  <si>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</si>
  <si>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n/a</t>
  </si>
  <si>
    <t>Reported history and provenance (CHF m, except shares)</t>
  </si>
  <si>
    <t>What the model was built from. "derived" means the figure was not reported and was computed - the note says how.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</si>
  <si>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</si>
  <si>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</si>
  <si>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</si>
  <si>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</si>
  <si>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</si>
  <si>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</si>
  <si>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</si>
  <si>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derived</t>
  </si>
  <si>
    <t>Depreciation &amp; amortisation</t>
  </si>
  <si>
    <t>Capital expenditure</t>
  </si>
  <si>
    <t>capitalExpenditure</t>
  </si>
  <si>
    <t>Change in working 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</si>
  <si>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</si>
  <si>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</si>
  <si>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</si>
  <si>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</si>
  <si>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</si>
  <si>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</si>
  <si>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Wrong tool: This is a financial. Banks and insurers report no meaningful operating income, and capex and working capital do not mean what a free-cashflow model assumes, so a DCF will misprice it. The model below runs on best-effort numbers - treat it as an illustration, not a valuation.</t>
  </si>
  <si>
    <t>Adjusted: Some line items were not reported and have been derived. Each one is labelled in the workings below.</t>
  </si>
  <si>
    <t>Adjusted: Consensus rests on as few as 2 analyst estimate(s).</t>
  </si>
  <si>
    <t>Adjusted: Reported capital expenditure averages just 0.68% of revenue, which is too low to be the company's real investment - property trusts and similar structures invest through lines that are not reported as capex. Capex has been set to 1.00% of revenue so the forecast is not handed free growth. The accounts do not separate depreciation from amortisation, so the combined charge is used - if a large part of it is amortisation of an acquisition, the reported capex is probably right and this substitution is not. Override it if the reported figure is right.</t>
  </si>
  <si>
    <t>Adjusted: Capital expenditure runs at 1.0% of revenue against depreciation of 0.6%. A perpetuity has to be a steady state, so the terminal year uses maintenance capex at depreciation and then charges the reinvestment terminal growth requires (g/ROIC of NOPAT). The bridge is shown under Terminal Value.</t>
  </si>
  <si>
    <t>Note: Risk-free rate is an assumption: CHF assumption - no free live source available for this market.</t>
  </si>
  <si>
    <t>No usable EV/EBITDA (EBITDA is not positive), so the exit multiple falls back to 8x.</t>
  </si>
  <si>
    <t>Data: Yahoo Finance. Risk-free rate: CHF assumption - no free live source available for this market.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</si>
</sst>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0.20002373660995065</v>
      </c>
    </row>
    <row r="7" spans="1:2" x14ac:dyDescent="0.25">
      <c r="A7" t="s">
        <v>5</v>
      </c>
      <c r="B7" s="6">
        <v>0.10392972763304334</v>
      </c>
    </row>
    <row r="8" spans="1:2" x14ac:dyDescent="0.25">
      <c r="A8" t="s">
        <v>6</v>
      </c>
      <c r="B8" s="6">
        <v>0.15</v>
      </c>
    </row>
    <row r="9" spans="1:2" x14ac:dyDescent="0.25">
      <c r="A9" t="s">
        <v>7</v>
      </c>
      <c r="B9" s="6">
        <v>0.005984031195101599</v>
      </c>
    </row>
    <row r="10" spans="1:2" x14ac:dyDescent="0.25">
      <c r="A10" t="s">
        <v>8</v>
      </c>
      <c r="B10" s="6">
        <v>0.01</v>
      </c>
    </row>
    <row r="11" spans="1:2" x14ac:dyDescent="0.25">
      <c r="A11" t="s">
        <v>9</v>
      </c>
      <c r="B11" s="6">
        <v>-0.006954102920723227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8</v>
      </c>
    </row>
    <row r="14" spans="1:3" x14ac:dyDescent="0.25">
      <c r="A14" t="s">
        <v>12</v>
      </c>
      <c r="B14" s="6">
        <v>0.08332159087447114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0.005</v>
      </c>
      <c r="C17" s="8" t="s">
        <v>16</v>
      </c>
    </row>
    <row r="18" spans="1:2" x14ac:dyDescent="0.25">
      <c r="A18" t="s">
        <v>17</v>
      </c>
      <c r="B18" s="6">
        <v>0.055</v>
      </c>
    </row>
    <row r="19" spans="1:3" x14ac:dyDescent="0.25">
      <c r="A19" t="s">
        <v>18</v>
      </c>
      <c r="B19" s="9">
        <v>0.68309</v>
      </c>
      <c r="C19" s="8" t="s">
        <v>19</v>
      </c>
    </row>
    <row r="20" spans="1:2" x14ac:dyDescent="0.25">
      <c r="A20" t="s">
        <v>20</v>
      </c>
      <c r="B20" s="10">
        <f>B17+B19*B18</f>
        <v>0.042569949999999995</v>
      </c>
    </row>
    <row r="21" spans="1:3" x14ac:dyDescent="0.25">
      <c r="A21" t="s">
        <v>21</v>
      </c>
      <c r="B21" s="6">
        <v>0.03454715219421102</v>
      </c>
      <c r="C21" s="8" t="s">
        <v>22</v>
      </c>
    </row>
    <row r="22" spans="1:2" x14ac:dyDescent="0.25">
      <c r="A22" t="s">
        <v>23</v>
      </c>
      <c r="B22" s="11">
        <v>25827229696</v>
      </c>
    </row>
    <row r="23" spans="1:2" x14ac:dyDescent="0.25">
      <c r="A23" t="s">
        <v>24</v>
      </c>
      <c r="B23" s="11">
        <v>9869000000</v>
      </c>
    </row>
    <row r="24" spans="1:2" x14ac:dyDescent="0.25">
      <c r="A24" t="s">
        <v>25</v>
      </c>
      <c r="B24" s="10">
        <f>B22/(B22+B23)</f>
        <v>0.7235282245758888</v>
      </c>
    </row>
    <row r="25" spans="1:2" x14ac:dyDescent="0.25">
      <c r="A25" t="s">
        <v>26</v>
      </c>
      <c r="B25" s="10">
        <f>1-B24</f>
        <v>0.27647177542411117</v>
      </c>
    </row>
    <row r="26" spans="1:2" x14ac:dyDescent="0.25">
      <c r="A26" t="s">
        <v>27</v>
      </c>
      <c r="B26" s="12">
        <f>B24*B20+B25*B21*(1-B8)</f>
        <v>0.038919175971317777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17796000000</v>
      </c>
      <c r="C29" s="8" t="s">
        <v>30</v>
      </c>
    </row>
    <row r="30" spans="1:2" x14ac:dyDescent="0.25">
      <c r="A30" t="s">
        <v>31</v>
      </c>
      <c r="B30" s="11">
        <v>-44681000000</v>
      </c>
    </row>
    <row r="31" spans="1:2" x14ac:dyDescent="0.25">
      <c r="A31" t="s">
        <v>32</v>
      </c>
      <c r="B31" s="13">
        <v>28309570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0.20002373660995065</v>
      </c>
      <c r="C5" s="10">
        <f>Assumptions!B6</f>
        <v>0.20002373660995065</v>
      </c>
      <c r="D5" s="10">
        <f>Assumptions!B6</f>
        <v>0.20002373660995065</v>
      </c>
      <c r="E5" s="10">
        <f>Assumptions!B6</f>
        <v>0.20002373660995065</v>
      </c>
      <c r="F5" s="10">
        <f>Assumptions!B6</f>
        <v>0.20002373660995065</v>
      </c>
    </row>
    <row r="6" spans="1:6" x14ac:dyDescent="0.25">
      <c r="A6" t="s">
        <v>43</v>
      </c>
      <c r="B6" s="18">
        <f>Assumptions!B29*(1+B5)</f>
        <v>21355622416.710682</v>
      </c>
      <c r="C6" s="18">
        <f>B6*(1+C5)</f>
        <v>25627253810.132378</v>
      </c>
      <c r="D6" s="18">
        <f>C6*(1+D5)</f>
        <v>30753312876.28665</v>
      </c>
      <c r="E6" s="18">
        <f>D6*(1+E5)</f>
        <v>36904705430.93642</v>
      </c>
      <c r="F6" s="18">
        <f>E6*(1+F5)</f>
        <v>44286522509.721855</v>
      </c>
    </row>
    <row r="7" spans="1:6" x14ac:dyDescent="0.25">
      <c r="A7" t="s">
        <v>5</v>
      </c>
      <c r="B7" s="10">
        <f>Assumptions!B7</f>
        <v>0.10392972763304334</v>
      </c>
      <c r="C7" s="10">
        <f>Assumptions!B7</f>
        <v>0.10392972763304334</v>
      </c>
      <c r="D7" s="10">
        <f>Assumptions!B7</f>
        <v>0.10392972763304334</v>
      </c>
      <c r="E7" s="10">
        <f>Assumptions!B7</f>
        <v>0.10392972763304334</v>
      </c>
      <c r="F7" s="10">
        <f>Assumptions!B7</f>
        <v>0.10392972763304334</v>
      </c>
    </row>
    <row r="8" spans="1:6" x14ac:dyDescent="0.25">
      <c r="A8" t="s">
        <v>44</v>
      </c>
      <c r="B8" s="18">
        <f>B6*B7</f>
        <v>2219484021.202856</v>
      </c>
      <c r="C8" s="18">
        <f>C6*C7</f>
        <v>2663433508.46993</v>
      </c>
      <c r="D8" s="18">
        <f>D6*D7</f>
        <v>3196183431.0462365</v>
      </c>
      <c r="E8" s="18">
        <f>E6*E7</f>
        <v>3835495983.814917</v>
      </c>
      <c r="F8" s="18">
        <f>F6*F7</f>
        <v>4602686222.250035</v>
      </c>
    </row>
    <row r="9" spans="1:6" x14ac:dyDescent="0.25">
      <c r="A9" t="s">
        <v>45</v>
      </c>
      <c r="B9" s="18">
        <f>B8*(1-Assumptions!B8)</f>
        <v>1886561418.0224276</v>
      </c>
      <c r="C9" s="18">
        <f>C8*(1-Assumptions!B8)</f>
        <v>2263918482.1994405</v>
      </c>
      <c r="D9" s="18">
        <f>D8*(1-Assumptions!B8)</f>
        <v>2716755916.389301</v>
      </c>
      <c r="E9" s="18">
        <f>E8*(1-Assumptions!B8)</f>
        <v>3260171586.2426796</v>
      </c>
      <c r="F9" s="18">
        <f>F8*(1-Assumptions!B8)</f>
        <v>3912283288.91253</v>
      </c>
    </row>
    <row r="10" spans="1:6" x14ac:dyDescent="0.25">
      <c r="A10" t="s">
        <v>46</v>
      </c>
      <c r="B10" s="18">
        <f>B6*Assumptions!B9</f>
        <v>127792710.73240772</v>
      </c>
      <c r="C10" s="18">
        <f>C6*Assumptions!B9</f>
        <v>153354286.24461845</v>
      </c>
      <c r="D10" s="18">
        <f>D6*Assumptions!B9</f>
        <v>184028783.604419</v>
      </c>
      <c r="E10" s="18">
        <f>E6*Assumptions!B9</f>
        <v>220838908.54475892</v>
      </c>
      <c r="F10" s="18">
        <f>F6*Assumptions!B9</f>
        <v>265011932.22074473</v>
      </c>
    </row>
    <row r="11" spans="1:6" x14ac:dyDescent="0.25">
      <c r="A11" t="s">
        <v>47</v>
      </c>
      <c r="B11" s="18">
        <f>-B6*Assumptions!B10</f>
        <v>-213556224.16710684</v>
      </c>
      <c r="C11" s="18">
        <f>-C6*Assumptions!B10</f>
        <v>-256272538.10132378</v>
      </c>
      <c r="D11" s="18">
        <f>-D6*Assumptions!B10</f>
        <v>-307533128.7628665</v>
      </c>
      <c r="E11" s="18">
        <f>-E6*Assumptions!B10</f>
        <v>-369047054.3093642</v>
      </c>
      <c r="F11" s="18">
        <f>-F6*Assumptions!B10</f>
        <v>-442865225.0972186</v>
      </c>
    </row>
    <row r="12" spans="1:6" x14ac:dyDescent="0.25">
      <c r="A12" t="s">
        <v>48</v>
      </c>
      <c r="B12" s="18">
        <f>-(B6-Assumptions!B29)*Assumptions!B11</f>
        <v>24753980.644719627</v>
      </c>
      <c r="C12" s="18">
        <f>-(C6-B6)*Assumptions!B11</f>
        <v>29705364.34924684</v>
      </c>
      <c r="D12" s="18">
        <f>-(D6-C6)*Assumptions!B11</f>
        <v>35647142.32374322</v>
      </c>
      <c r="E12" s="18">
        <f>-(E6-D6)*Assumptions!B11</f>
        <v>42777416.93080504</v>
      </c>
      <c r="F12" s="18">
        <f>-(F6-E6)*Assumptions!B11</f>
        <v>51333915.70782642</v>
      </c>
    </row>
    <row r="13" spans="1:6" x14ac:dyDescent="0.25">
      <c r="A13" s="19" t="s">
        <v>49</v>
      </c>
      <c r="B13" s="20">
        <f>B9+B10+B11+B12</f>
        <v>1825551885.232448</v>
      </c>
      <c r="C13" s="20">
        <f>C9+C10+C11+C12</f>
        <v>2190705594.6919823</v>
      </c>
      <c r="D13" s="20">
        <f>D9+D10+D11+D12</f>
        <v>2628898713.554597</v>
      </c>
      <c r="E13" s="20">
        <f>E9+E10+E11+E12</f>
        <v>3154740857.4088793</v>
      </c>
      <c r="F13" s="20">
        <f>F9+F10+F11+F12</f>
        <v>3785763911.7438827</v>
      </c>
    </row>
    <row r="14" spans="1:6" x14ac:dyDescent="0.25">
      <c r="A14" t="s">
        <v>50</v>
      </c>
      <c r="B14" s="21">
        <f>1/(1+Assumptions!$B$26)^(1-0.5*Assumptions!$B$32)</f>
        <v>0.9810906093210952</v>
      </c>
      <c r="C14" s="21">
        <f>1/(1+Assumptions!$B$26)^(2-0.5*Assumptions!$B$32)</f>
        <v>0.9443377617934937</v>
      </c>
      <c r="D14" s="21">
        <f>1/(1+Assumptions!$B$26)^(3-0.5*Assumptions!$B$32)</f>
        <v>0.9089617206368368</v>
      </c>
      <c r="E14" s="21">
        <f>1/(1+Assumptions!$B$26)^(4-0.5*Assumptions!$B$32)</f>
        <v>0.8749109090098565</v>
      </c>
      <c r="F14" s="21">
        <f>1/(1+Assumptions!$B$26)^(5-0.5*Assumptions!$B$32)</f>
        <v>0.8421356822024918</v>
      </c>
    </row>
    <row r="15" spans="1:6" x14ac:dyDescent="0.25">
      <c r="A15" s="19" t="s">
        <v>51</v>
      </c>
      <c r="B15" s="20">
        <f>B13*B14</f>
        <v>1791031811.4299765</v>
      </c>
      <c r="C15" s="20">
        <f>C13*C14</f>
        <v>2068766018.039911</v>
      </c>
      <c r="D15" s="20">
        <f>D13*D14</f>
        <v>2389568298.052553</v>
      </c>
      <c r="E15" s="20">
        <f>E13*E14</f>
        <v>2760117191.2461367</v>
      </c>
      <c r="F15" s="20">
        <f>F13*F14</f>
        <v>3188126874.4740086</v>
      </c>
    </row>
    <row r="17" spans="1:2" x14ac:dyDescent="0.25">
      <c r="A17" s="22" t="s">
        <v>52</v>
      </c>
      <c r="B17" s="23">
        <f>SUM(B15:F15)</f>
        <v>12197610193.242586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3785763911.7438827</v>
      </c>
    </row>
    <row r="5" spans="1:2" x14ac:dyDescent="0.25">
      <c r="A5" t="s">
        <v>56</v>
      </c>
      <c r="B5" s="18">
        <f>IF(Assumptions!$B$33=0,B4,B4-Forecast!F11-Forecast!F10-Forecast!F12)</f>
        <v>3912283288.91253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0.3000422788093901</v>
      </c>
    </row>
    <row r="7" spans="1:2" x14ac:dyDescent="0.25">
      <c r="A7" t="s">
        <v>58</v>
      </c>
      <c r="B7" s="18">
        <f>-MAX(Forecast!F9,0)*B6</f>
        <v>-1173850393.353211</v>
      </c>
    </row>
    <row r="8" spans="1:2" x14ac:dyDescent="0.25">
      <c r="A8" t="s">
        <v>59</v>
      </c>
      <c r="B8" s="18">
        <f>IF(OR(Assumptions!$B$33=0,Assumptions!B12&lt;=0),B5,MAX(B5+B7,0))</f>
        <v>2738432895.559319</v>
      </c>
    </row>
    <row r="9" spans="1:2" x14ac:dyDescent="0.25">
      <c r="A9" t="s">
        <v>60</v>
      </c>
      <c r="B9" s="18">
        <f>B8*(1+Assumptions!B12)/(Assumptions!B26-Assumptions!B12)</f>
        <v>201656601204.86023</v>
      </c>
    </row>
    <row r="10" spans="1:2" x14ac:dyDescent="0.25">
      <c r="A10" t="s">
        <v>61</v>
      </c>
      <c r="B10" s="18">
        <f>B9/(1+Assumptions!B26)^(5-0.5*Assumptions!B32)</f>
        <v>169822219426.2908</v>
      </c>
    </row>
    <row r="11" spans="1:2" x14ac:dyDescent="0.25">
      <c r="A11" t="s">
        <v>62</v>
      </c>
      <c r="B11" s="18">
        <f>Forecast!B17+B10</f>
        <v>182019829619.5334</v>
      </c>
    </row>
    <row r="12" spans="1:2" x14ac:dyDescent="0.25">
      <c r="A12" t="s">
        <v>63</v>
      </c>
      <c r="B12" s="18">
        <f>-Assumptions!B30</f>
        <v>44681000000</v>
      </c>
    </row>
    <row r="13" spans="1:2" x14ac:dyDescent="0.25">
      <c r="A13" t="s">
        <v>64</v>
      </c>
      <c r="B13" s="18">
        <f>B11+B12</f>
        <v>226700829619.5334</v>
      </c>
    </row>
    <row r="14" spans="1:2" x14ac:dyDescent="0.25">
      <c r="A14" s="19" t="s">
        <v>65</v>
      </c>
      <c r="B14" s="24">
        <f>B13/Assumptions!B31</f>
        <v>8007.922042600201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4867698154.47078</v>
      </c>
    </row>
    <row r="18" spans="1:2" x14ac:dyDescent="0.25">
      <c r="A18" t="s">
        <v>60</v>
      </c>
      <c r="B18" s="18">
        <f>B17*Assumptions!B13</f>
        <v>38941585235.76624</v>
      </c>
    </row>
    <row r="19" spans="1:2" x14ac:dyDescent="0.25">
      <c r="A19" t="s">
        <v>61</v>
      </c>
      <c r="B19" s="18">
        <f>B18/(1+Assumptions!B26)^(5-0.5*Assumptions!B32)</f>
        <v>32794098448.56849</v>
      </c>
    </row>
    <row r="20" spans="1:2" x14ac:dyDescent="0.25">
      <c r="A20" t="s">
        <v>62</v>
      </c>
      <c r="B20" s="18">
        <f>Forecast!B17+B19</f>
        <v>44991708641.81107</v>
      </c>
    </row>
    <row r="21" spans="1:2" x14ac:dyDescent="0.25">
      <c r="A21" t="s">
        <v>63</v>
      </c>
      <c r="B21" s="18">
        <f>-Assumptions!B30</f>
        <v>44680999999.99999</v>
      </c>
    </row>
    <row r="22" spans="1:2" x14ac:dyDescent="0.25">
      <c r="A22" t="s">
        <v>64</v>
      </c>
      <c r="B22" s="18">
        <f>B20+B21</f>
        <v>89672708641.81107</v>
      </c>
    </row>
    <row r="23" spans="1:2" x14ac:dyDescent="0.25">
      <c r="A23" s="19" t="s">
        <v>65</v>
      </c>
      <c r="B23" s="25">
        <f>B22/Assumptions!B31</f>
        <v>3167.5757929848833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924.2</v>
      </c>
    </row>
    <row r="27" spans="1:3" x14ac:dyDescent="0.25">
      <c r="A27" t="s">
        <v>70</v>
      </c>
      <c r="B27" s="27">
        <v>1</v>
      </c>
      <c r="C27" s="8" t="s">
        <v>71</v>
      </c>
    </row>
    <row r="28" spans="1:2" x14ac:dyDescent="0.25">
      <c r="A28" t="s">
        <v>72</v>
      </c>
      <c r="B28" s="28">
        <f>B14*B27</f>
        <v>8007.922042600201</v>
      </c>
    </row>
    <row r="29" spans="1:2" x14ac:dyDescent="0.25">
      <c r="A29" s="19" t="s">
        <v>73</v>
      </c>
      <c r="B29" s="12">
        <f>B28/B26-1</f>
        <v>7.664706819519802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0.018919</v>
      </c>
      <c r="B5" s="31">
        <v>29008.201469570053</v>
      </c>
      <c r="C5" s="31" t="s">
        <v>76</v>
      </c>
      <c r="D5" s="31" t="s">
        <v>76</v>
      </c>
      <c r="E5" s="31" t="s">
        <v>76</v>
      </c>
      <c r="F5" s="31" t="s">
        <v>76</v>
      </c>
    </row>
    <row r="6" spans="1:6" x14ac:dyDescent="0.25">
      <c r="A6" s="30">
        <v>0.028919</v>
      </c>
      <c r="B6" s="31">
        <v>9289.394429227283</v>
      </c>
      <c r="C6" s="31">
        <v>12585.740624281003</v>
      </c>
      <c r="D6" s="31">
        <v>24274.665840828773</v>
      </c>
      <c r="E6" s="31" t="s">
        <v>76</v>
      </c>
      <c r="F6" s="31" t="s">
        <v>76</v>
      </c>
    </row>
    <row r="7" spans="1:6" x14ac:dyDescent="0.25">
      <c r="A7" s="30">
        <v>0.038919</v>
      </c>
      <c r="B7" s="31">
        <v>6058.679267464501</v>
      </c>
      <c r="C7" s="31">
        <v>6777.598615244504</v>
      </c>
      <c r="D7" s="32">
        <v>8008.0026576901755</v>
      </c>
      <c r="E7" s="31">
        <v>10610.107833862516</v>
      </c>
      <c r="F7" s="31">
        <v>19834.10985845917</v>
      </c>
    </row>
    <row r="8" spans="1:6" x14ac:dyDescent="0.25">
      <c r="A8" s="30">
        <v>0.048919</v>
      </c>
      <c r="B8" s="31">
        <v>4733.010465607349</v>
      </c>
      <c r="C8" s="31">
        <v>4985.7802697783845</v>
      </c>
      <c r="D8" s="31">
        <v>5341.430904243202</v>
      </c>
      <c r="E8" s="31">
        <v>5881.531820579942</v>
      </c>
      <c r="F8" s="31">
        <v>6804.858378231003</v>
      </c>
    </row>
    <row r="9" spans="1:6" x14ac:dyDescent="0.25">
      <c r="A9" s="30">
        <v>0.058919</v>
      </c>
      <c r="B9" s="31">
        <v>4011.105822848736</v>
      </c>
      <c r="C9" s="31">
        <v>4114.41267291666</v>
      </c>
      <c r="D9" s="31">
        <v>4246.286787934788</v>
      </c>
      <c r="E9" s="31">
        <v>4421.545726402829</v>
      </c>
      <c r="F9" s="31">
        <v>4667.396827747546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4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77</v>
      </c>
    </row>
    <row r="2" spans="1:1" x14ac:dyDescent="0.25">
      <c r="A2" s="3" t="s">
        <v>78</v>
      </c>
    </row>
    <row r="4" spans="1:6" x14ac:dyDescent="0.25">
      <c r="A4" s="16" t="s">
        <v>79</v>
      </c>
      <c r="B4" s="17" t="s">
        <v>80</v>
      </c>
      <c r="C4" s="17" t="s">
        <v>81</v>
      </c>
      <c r="D4" s="17" t="s">
        <v>82</v>
      </c>
      <c r="E4" s="17" t="s">
        <v>83</v>
      </c>
      <c r="F4" s="33" t="s">
        <v>84</v>
      </c>
    </row>
    <row r="5" spans="1:6" x14ac:dyDescent="0.25">
      <c r="A5" t="s">
        <v>43</v>
      </c>
      <c r="B5" s="18">
        <v>17796000000</v>
      </c>
      <c r="C5" s="18">
        <v>18585000000</v>
      </c>
      <c r="D5" s="18">
        <v>17866000000</v>
      </c>
      <c r="E5" s="18">
        <v>10298000000</v>
      </c>
      <c r="F5" s="8" t="s">
        <v>85</v>
      </c>
    </row>
    <row r="6" spans="1:6" x14ac:dyDescent="0.25">
      <c r="A6" t="s">
        <v>44</v>
      </c>
      <c r="B6" s="18">
        <v>1667000000</v>
      </c>
      <c r="C6" s="18">
        <v>1637000000</v>
      </c>
      <c r="D6" s="18">
        <v>1366000000</v>
      </c>
      <c r="E6" s="18">
        <v>1622000000</v>
      </c>
      <c r="F6" s="8" t="s">
        <v>86</v>
      </c>
    </row>
    <row r="7" spans="1:6" x14ac:dyDescent="0.25">
      <c r="A7" t="s">
        <v>87</v>
      </c>
      <c r="B7" s="18">
        <v>0</v>
      </c>
      <c r="C7" s="18">
        <v>86000000</v>
      </c>
      <c r="D7" s="18">
        <v>83000000</v>
      </c>
      <c r="E7" s="18">
        <v>151000000</v>
      </c>
      <c r="F7" s="8" t="s">
        <v>86</v>
      </c>
    </row>
    <row r="8" spans="1:6" x14ac:dyDescent="0.25">
      <c r="A8" t="s">
        <v>88</v>
      </c>
      <c r="B8" s="18">
        <v>107000000</v>
      </c>
      <c r="C8" s="18">
        <v>130000000</v>
      </c>
      <c r="D8" s="18">
        <v>109000000</v>
      </c>
      <c r="E8" s="18">
        <v>83000000</v>
      </c>
      <c r="F8" s="8" t="s">
        <v>89</v>
      </c>
    </row>
    <row r="9" spans="1:6" x14ac:dyDescent="0.25">
      <c r="A9" t="s">
        <v>90</v>
      </c>
      <c r="B9" s="18">
        <v>-89000000</v>
      </c>
      <c r="C9" s="18">
        <v>-5000000</v>
      </c>
      <c r="D9" s="18">
        <v>-148000000</v>
      </c>
      <c r="E9" s="18">
        <v>-272000000</v>
      </c>
      <c r="F9" s="8" t="s">
        <v>86</v>
      </c>
    </row>
    <row r="10" spans="1:6" x14ac:dyDescent="0.25">
      <c r="A10" t="s">
        <v>91</v>
      </c>
      <c r="B10" s="18">
        <v>9869000000</v>
      </c>
      <c r="C10" s="18">
        <v>9409000000</v>
      </c>
      <c r="D10" s="18">
        <v>4195000000</v>
      </c>
      <c r="E10" s="18">
        <v>11265000000</v>
      </c>
      <c r="F10" s="8" t="s">
        <v>92</v>
      </c>
    </row>
    <row r="11" spans="1:6" x14ac:dyDescent="0.25">
      <c r="A11" t="s">
        <v>93</v>
      </c>
      <c r="B11" s="18">
        <v>54550000000</v>
      </c>
      <c r="C11" s="18">
        <v>59452000000</v>
      </c>
      <c r="D11" s="18">
        <v>72217000000</v>
      </c>
      <c r="E11" s="18">
        <v>79352000000</v>
      </c>
      <c r="F11" s="8" t="s">
        <v>94</v>
      </c>
    </row>
    <row r="12" spans="1:6" x14ac:dyDescent="0.25">
      <c r="A12" t="s">
        <v>32</v>
      </c>
      <c r="B12" s="34">
        <v>28309570</v>
      </c>
      <c r="C12" s="34">
        <v>28703909</v>
      </c>
      <c r="D12" s="34">
        <v>29261488</v>
      </c>
      <c r="E12" s="34">
        <v>30338579</v>
      </c>
      <c r="F12" s="8" t="s">
        <v>95</v>
      </c>
    </row>
    <row r="15" spans="1:1" x14ac:dyDescent="0.25">
      <c r="A15" s="19" t="s">
        <v>96</v>
      </c>
    </row>
    <row r="16" ht="54" customHeight="1" spans="1:6" x14ac:dyDescent="0.25">
      <c r="A16" s="35" t="s">
        <v>97</v>
      </c>
      <c r="B16" s="35"/>
      <c r="C16" s="35"/>
      <c r="D16" s="35"/>
      <c r="E16" s="35"/>
      <c r="F16" s="35"/>
    </row>
    <row r="17" ht="22" customHeight="1" spans="1:6" x14ac:dyDescent="0.25">
      <c r="A17" s="35" t="s">
        <v>98</v>
      </c>
      <c r="B17" s="35"/>
      <c r="C17" s="35"/>
      <c r="D17" s="35"/>
      <c r="E17" s="35"/>
      <c r="F17" s="35"/>
    </row>
    <row r="18" ht="22" customHeight="1" spans="1:6" x14ac:dyDescent="0.25">
      <c r="A18" s="35" t="s">
        <v>99</v>
      </c>
      <c r="B18" s="35"/>
      <c r="C18" s="35"/>
      <c r="D18" s="35"/>
      <c r="E18" s="35"/>
      <c r="F18" s="35"/>
    </row>
    <row r="19" ht="86" customHeight="1" spans="1:6" x14ac:dyDescent="0.25">
      <c r="A19" s="35" t="s">
        <v>100</v>
      </c>
      <c r="B19" s="35"/>
      <c r="C19" s="35"/>
      <c r="D19" s="35"/>
      <c r="E19" s="35"/>
      <c r="F19" s="35"/>
    </row>
    <row r="20" ht="54" customHeight="1" spans="1:6" x14ac:dyDescent="0.25">
      <c r="A20" s="35" t="s">
        <v>101</v>
      </c>
      <c r="B20" s="35"/>
      <c r="C20" s="35"/>
      <c r="D20" s="35"/>
      <c r="E20" s="35"/>
      <c r="F20" s="35"/>
    </row>
    <row r="21" ht="22" customHeight="1" spans="1:6" x14ac:dyDescent="0.25">
      <c r="A21" s="35" t="s">
        <v>102</v>
      </c>
      <c r="B21" s="35"/>
      <c r="C21" s="35"/>
      <c r="D21" s="35"/>
      <c r="E21" s="35"/>
      <c r="F21" s="35"/>
    </row>
    <row r="22" ht="22" customHeight="1" spans="1:6" x14ac:dyDescent="0.25">
      <c r="A22" s="35" t="s">
        <v>103</v>
      </c>
      <c r="B22" s="35"/>
      <c r="C22" s="35"/>
      <c r="D22" s="35"/>
      <c r="E22" s="35"/>
      <c r="F22" s="35"/>
    </row>
    <row r="24" spans="1:1" x14ac:dyDescent="0.25">
      <c r="A24" s="36" t="s">
        <v>104</v>
      </c>
    </row>
  </sheetData>
  <mergeCells count="7">
    <mergeCell ref="A16:F16"/>
    <mergeCell ref="A17:F17"/>
    <mergeCell ref="A18:F18"/>
    <mergeCell ref="A19:F19"/>
    <mergeCell ref="A20:F20"/>
    <mergeCell ref="A21:F21"/>
    <mergeCell ref="A22:F22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2026-09-19T01:03:58Z</dcterms:modified>
</cp:coreProperties>
</file>