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<sst xmlns="http://schemas.openxmlformats.org/spreadsheetml/2006/main" count="114" uniqueCount="102">
  <si>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Solaria Energía y Medio Ambiente, S.A. (SLR.MC)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</si>
  <si>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</si>
  <si>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</si>
  <si>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</si>
  <si>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</si>
  <si>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</si>
  <si>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</si>
  <si>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</si>
  <si>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</si>
  <si>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</si>
  <si>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</si>
  <si>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</si>
  <si>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</si>
  <si>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</si>
  <si>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</si>
  <si>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</si>
  <si>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</si>
  <si>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</si>
  <si>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</si>
  <si>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</si>
  <si>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</si>
  <si>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</si>
  <si>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</si>
  <si>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</si>
  <si>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</si>
  <si>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</si>
  <si>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</si>
  <si>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</si>
  <si>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</si>
  <si>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</si>
  <si>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</si>
  <si>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</si>
  <si>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</si>
  <si>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</si>
  <si>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</si>
  <si>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</si>
  <si>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</si>
  <si>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</si>
  <si>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</si>
  <si>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</si>
  <si>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</si>
  <si>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</si>
  <si>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</si>
  <si>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</si>
  <si>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</si>
  <si>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</si>
  <si>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</si>
  <si>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</si>
  <si>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</si>
  <si>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</si>
  <si>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</si>
  <si>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</si>
  <si>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</si>
  <si>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</si>
  <si>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</si>
  <si>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</si>
  <si>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</si>
  <si>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</si>
  <si>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</si>
  <si>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</si>
  <si>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</si>
  <si>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</si>
  <si>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</si>
  <si>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</si>
  <si>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</si>
  <si>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</si>
  <si>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</si>
  <si>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</si>
  <si>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</si>
  <si>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</si>
  <si>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</si>
  <si>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</si>
  <si>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</si>
  <si>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</si>
  <si>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</si>
  <si>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</si>
  <si>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</si>
  <si>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</si>
  <si>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</si>
  <si>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</si>
  <si>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</si>
  <si>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</si>
  <si>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</si>
  <si>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</si>
  <si>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</si>
  <si>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</si>
  <si>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</si>
  <si>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</si>
  <si>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</si>
  <si>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</si>
  <si>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</si>
  <si>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</si>
  <si>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</si>
  <si>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</si>
  <si>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</si>
  <si>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</si>
  <si>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</si>
  <si>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</si>
  <si>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</si>
  <si>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179.3% of revenue against depreciation of 20.9%.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</si>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</sst>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0.1233539627106548</v>
      </c>
    </row>
    <row r="7" spans="1:2" x14ac:dyDescent="0.25">
      <c r="A7" t="s">
        <v>5</v>
      </c>
      <c r="B7" s="6">
        <v>0.8968453099812205</v>
      </c>
    </row>
    <row r="8" spans="1:2" x14ac:dyDescent="0.25">
      <c r="A8" t="s">
        <v>6</v>
      </c>
      <c r="B8" s="6">
        <v>0.19979999201199905</v>
      </c>
    </row>
    <row r="9" spans="1:2" x14ac:dyDescent="0.25">
      <c r="A9" t="s">
        <v>7</v>
      </c>
      <c r="B9" s="6">
        <v>0.20898959623022212</v>
      </c>
    </row>
    <row r="10" spans="1:2" x14ac:dyDescent="0.25">
      <c r="A10" t="s">
        <v>8</v>
      </c>
      <c r="B10" s="6">
        <v>1.7934391476096443</v>
      </c>
    </row>
    <row r="11" spans="1:2" x14ac:dyDescent="0.25">
      <c r="A11" t="s">
        <v>9</v>
      </c>
      <c r="B11" s="6">
        <v>0.7707065296781419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14.07350255321072</v>
      </c>
    </row>
    <row r="14" spans="1:3" x14ac:dyDescent="0.25">
      <c r="A14" t="s">
        <v>12</v>
      </c>
      <c r="B14" s="6">
        <v>0.08671257060128396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1.0723600000000002</v>
      </c>
      <c r="C19" s="8" t="s">
        <v>19</v>
      </c>
    </row>
    <row r="20" spans="1:2" x14ac:dyDescent="0.25">
      <c r="A20" t="s">
        <v>20</v>
      </c>
      <c r="B20" s="10">
        <f>B17+B19*B18</f>
        <v>0.11170340000000001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2291987456</v>
      </c>
    </row>
    <row r="23" spans="1:2" x14ac:dyDescent="0.25">
      <c r="A23" t="s">
        <v>24</v>
      </c>
      <c r="B23" s="11">
        <v>1508758000</v>
      </c>
    </row>
    <row r="24" spans="1:2" x14ac:dyDescent="0.25">
      <c r="A24" t="s">
        <v>25</v>
      </c>
      <c r="B24" s="10">
        <f>B22/(B22+B23)</f>
        <v>0.6030362944673873</v>
      </c>
    </row>
    <row r="25" spans="1:2" x14ac:dyDescent="0.25">
      <c r="A25" t="s">
        <v>26</v>
      </c>
      <c r="B25" s="10">
        <f>1-B24</f>
        <v>0.39696370553261273</v>
      </c>
    </row>
    <row r="26" spans="1:2" x14ac:dyDescent="0.25">
      <c r="A26" t="s">
        <v>27</v>
      </c>
      <c r="B26" s="12">
        <f>B24*B20+B25*B21*(1-B8)</f>
        <v>0.08070251954961037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197443000</v>
      </c>
      <c r="C29" s="8" t="s">
        <v>30</v>
      </c>
    </row>
    <row r="30" spans="1:2" x14ac:dyDescent="0.25">
      <c r="A30" t="s">
        <v>31</v>
      </c>
      <c r="B30" s="11">
        <v>1445203000</v>
      </c>
    </row>
    <row r="31" spans="1:2" x14ac:dyDescent="0.25">
      <c r="A31" t="s">
        <v>32</v>
      </c>
      <c r="B31" s="13">
        <v>124951000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0.1233539627106548</v>
      </c>
      <c r="C5" s="10">
        <f>Assumptions!B6</f>
        <v>0.1233539627106548</v>
      </c>
      <c r="D5" s="10">
        <f>Assumptions!B6</f>
        <v>0.1233539627106548</v>
      </c>
      <c r="E5" s="10">
        <f>Assumptions!B6</f>
        <v>0.1233539627106548</v>
      </c>
      <c r="F5" s="10">
        <f>Assumptions!B6</f>
        <v>0.1233539627106548</v>
      </c>
    </row>
    <row r="6" spans="1:6" x14ac:dyDescent="0.25">
      <c r="A6" t="s">
        <v>43</v>
      </c>
      <c r="B6" s="18">
        <f>Assumptions!B29*(1+B5)</f>
        <v>221798376.4594798</v>
      </c>
      <c r="C6" s="18">
        <f>B6*(1+C5)</f>
        <v>249158085.11854625</v>
      </c>
      <c r="D6" s="18">
        <f>C6*(1+D5)</f>
        <v>279892722.2593176</v>
      </c>
      <c r="E6" s="18">
        <f>D6*(1+E5)</f>
        <v>314418598.6838771</v>
      </c>
      <c r="F6" s="18">
        <f>E6*(1+F5)</f>
        <v>353203378.7814644</v>
      </c>
    </row>
    <row r="7" spans="1:6" x14ac:dyDescent="0.25">
      <c r="A7" t="s">
        <v>5</v>
      </c>
      <c r="B7" s="10">
        <f>Assumptions!B7</f>
        <v>0.8968453099812205</v>
      </c>
      <c r="C7" s="10">
        <f>Assumptions!B7</f>
        <v>0.8968453099812205</v>
      </c>
      <c r="D7" s="10">
        <f>Assumptions!B7</f>
        <v>0.8968453099812205</v>
      </c>
      <c r="E7" s="10">
        <f>Assumptions!B7</f>
        <v>0.8968453099812205</v>
      </c>
      <c r="F7" s="10">
        <f>Assumptions!B7</f>
        <v>0.8968453099812205</v>
      </c>
    </row>
    <row r="8" spans="1:6" x14ac:dyDescent="0.25">
      <c r="A8" t="s">
        <v>44</v>
      </c>
      <c r="B8" s="18">
        <f>B6*B7</f>
        <v>198918833.6891336</v>
      </c>
      <c r="C8" s="18">
        <f>C6*C7</f>
        <v>223456260.0824699</v>
      </c>
      <c r="D8" s="18">
        <f>D6*D7</f>
        <v>251020475.25614533</v>
      </c>
      <c r="E8" s="18">
        <f>E6*E7</f>
        <v>281984845.6005027</v>
      </c>
      <c r="F8" s="18">
        <f>F6*F7</f>
        <v>316768793.72967684</v>
      </c>
    </row>
    <row r="9" spans="1:6" x14ac:dyDescent="0.25">
      <c r="A9" t="s">
        <v>45</v>
      </c>
      <c r="B9" s="18">
        <f>B8*(1-Assumptions!B8)</f>
        <v>159174852.30700856</v>
      </c>
      <c r="C9" s="18">
        <f>C8*(1-Assumptions!B8)</f>
        <v>178809701.10296124</v>
      </c>
      <c r="D9" s="18">
        <f>D8*(1-Assumptions!B8)</f>
        <v>200866586.30511928</v>
      </c>
      <c r="E9" s="18">
        <f>E8*(1-Assumptions!B8)</f>
        <v>225644275.7020175</v>
      </c>
      <c r="F9" s="18">
        <f>F8*(1-Assumptions!B8)</f>
        <v>253478391.27283683</v>
      </c>
    </row>
    <row r="10" spans="1:6" x14ac:dyDescent="0.25">
      <c r="A10" t="s">
        <v>46</v>
      </c>
      <c r="B10" s="18">
        <f>B6*Assumptions!B9</f>
        <v>46353553.140785486</v>
      </c>
      <c r="C10" s="18">
        <f>C6*Assumptions!B9</f>
        <v>52071447.60642029</v>
      </c>
      <c r="D10" s="18">
        <f>D6*Assumptions!B9</f>
        <v>58494667.01275248</v>
      </c>
      <c r="E10" s="18">
        <f>E6*Assumptions!B9</f>
        <v>65710215.986215726</v>
      </c>
      <c r="F10" s="18">
        <f>F6*Assumptions!B9</f>
        <v>73815831.51868844</v>
      </c>
    </row>
    <row r="11" spans="1:6" x14ac:dyDescent="0.25">
      <c r="A11" t="s">
        <v>47</v>
      </c>
      <c r="B11" s="18">
        <f>-B6*Assumptions!B10</f>
        <v>-397781891.2186925</v>
      </c>
      <c r="C11" s="18">
        <f>-C6*Assumptions!B10</f>
        <v>-446849863.79505676</v>
      </c>
      <c r="D11" s="18">
        <f>-D6*Assumptions!B10</f>
        <v>-501970565.23089343</v>
      </c>
      <c r="E11" s="18">
        <f>-E6*Assumptions!B10</f>
        <v>-563890623.6162314</v>
      </c>
      <c r="F11" s="18">
        <f>-F6*Assumptions!B10</f>
        <v>-633448766.5746758</v>
      </c>
    </row>
    <row r="12" spans="1:6" x14ac:dyDescent="0.25">
      <c r="A12" t="s">
        <v>48</v>
      </c>
      <c r="B12" s="18">
        <f>-(B6-Assumptions!B29)*Assumptions!B11</f>
        <v>-18770847.670090392</v>
      </c>
      <c r="C12" s="18">
        <f>-(C6-B6)*Assumptions!B11</f>
        <v>-21086306.113634106</v>
      </c>
      <c r="D12" s="18">
        <f>-(D6-C6)*Assumptions!B11</f>
        <v>-23687385.5316808</v>
      </c>
      <c r="E12" s="18">
        <f>-(E6-D6)*Assumptions!B11</f>
        <v>-26609318.403268654</v>
      </c>
      <c r="F12" s="18">
        <f>-(F6-E6)*Assumptions!B11</f>
        <v>-29891683.273341365</v>
      </c>
    </row>
    <row r="13" spans="1:6" x14ac:dyDescent="0.25">
      <c r="A13" s="19" t="s">
        <v>49</v>
      </c>
      <c r="B13" s="20">
        <f>B9+B10+B11+B12</f>
        <v>-211024333.44098884</v>
      </c>
      <c r="C13" s="20">
        <f>C9+C10+C11+C12</f>
        <v>-237055021.19930935</v>
      </c>
      <c r="D13" s="20">
        <f>D9+D10+D11+D12</f>
        <v>-266296697.44470248</v>
      </c>
      <c r="E13" s="20">
        <f>E9+E10+E11+E12</f>
        <v>-299145450.3312669</v>
      </c>
      <c r="F13" s="20">
        <f>F9+F10+F11+F12</f>
        <v>-336046227.0564919</v>
      </c>
    </row>
    <row r="14" spans="1:6" x14ac:dyDescent="0.25">
      <c r="A14" t="s">
        <v>50</v>
      </c>
      <c r="B14" s="21">
        <f>1/(1+Assumptions!$B$26)^(1-0.5*Assumptions!$B$32)</f>
        <v>0.9619376384009097</v>
      </c>
      <c r="C14" s="21">
        <f>1/(1+Assumptions!$B$26)^(2-0.5*Assumptions!$B$32)</f>
        <v>0.8901040027201966</v>
      </c>
      <c r="D14" s="21">
        <f>1/(1+Assumptions!$B$26)^(3-0.5*Assumptions!$B$32)</f>
        <v>0.8236346141685255</v>
      </c>
      <c r="E14" s="21">
        <f>1/(1+Assumptions!$B$26)^(4-0.5*Assumptions!$B$32)</f>
        <v>0.7621288923354973</v>
      </c>
      <c r="F14" s="21">
        <f>1/(1+Assumptions!$B$26)^(5-0.5*Assumptions!$B$32)</f>
        <v>0.7052161705453592</v>
      </c>
    </row>
    <row r="15" spans="1:6" x14ac:dyDescent="0.25">
      <c r="A15" s="19" t="s">
        <v>51</v>
      </c>
      <c r="B15" s="20">
        <f>B13*B14</f>
        <v>-202992248.95535094</v>
      </c>
      <c r="C15" s="20">
        <f>C13*C14</f>
        <v>-211003623.23442632</v>
      </c>
      <c r="D15" s="20">
        <f>D13*D14</f>
        <v>-219331177.65422007</v>
      </c>
      <c r="E15" s="20">
        <f>E13*E14</f>
        <v>-227987390.70817196</v>
      </c>
      <c r="F15" s="20">
        <f>F13*F14</f>
        <v>-236985233.37099552</v>
      </c>
    </row>
    <row r="17" spans="1:2" x14ac:dyDescent="0.25">
      <c r="A17" s="22" t="s">
        <v>52</v>
      </c>
      <c r="B17" s="23">
        <f>SUM(B15:F15)</f>
        <v>-1098299673.9231648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-336046227.0564919</v>
      </c>
    </row>
    <row r="5" spans="1:2" x14ac:dyDescent="0.25">
      <c r="A5" t="s">
        <v>56</v>
      </c>
      <c r="B5" s="18">
        <f>IF(Assumptions!$B$33=0,B4,B4-Forecast!F11-Forecast!F10-Forecast!F12)</f>
        <v>270807385.6391225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0.2883088325792273</v>
      </c>
    </row>
    <row r="7" spans="1:2" x14ac:dyDescent="0.25">
      <c r="A7" t="s">
        <v>58</v>
      </c>
      <c r="B7" s="18">
        <f>-MAX(Forecast!F9,0)*B6</f>
        <v>-78076161.207448</v>
      </c>
    </row>
    <row r="8" spans="1:2" x14ac:dyDescent="0.25">
      <c r="A8" t="s">
        <v>59</v>
      </c>
      <c r="B8" s="18">
        <f>IF(OR(Assumptions!$B$33=0,Assumptions!B12&lt;=0),B5,MAX(B5+B7,0))</f>
        <v>192731224.43167448</v>
      </c>
    </row>
    <row r="9" spans="1:2" x14ac:dyDescent="0.25">
      <c r="A9" t="s">
        <v>60</v>
      </c>
      <c r="B9" s="18">
        <f>B8*(1+Assumptions!B12)/(Assumptions!B26-Assumptions!B12)</f>
        <v>3546509325.6064057</v>
      </c>
    </row>
    <row r="10" spans="1:2" x14ac:dyDescent="0.25">
      <c r="A10" t="s">
        <v>61</v>
      </c>
      <c r="B10" s="18">
        <f>B9/(1+Assumptions!B26)^(5-0.5*Assumptions!B32)</f>
        <v>2501055725.407554</v>
      </c>
    </row>
    <row r="11" spans="1:2" x14ac:dyDescent="0.25">
      <c r="A11" t="s">
        <v>62</v>
      </c>
      <c r="B11" s="18">
        <f>Forecast!B17+B10</f>
        <v>1402756051.4843893</v>
      </c>
    </row>
    <row r="12" spans="1:2" x14ac:dyDescent="0.25">
      <c r="A12" t="s">
        <v>63</v>
      </c>
      <c r="B12" s="18">
        <f>-Assumptions!B30</f>
        <v>-1445203000</v>
      </c>
    </row>
    <row r="13" spans="1:2" x14ac:dyDescent="0.25">
      <c r="A13" t="s">
        <v>64</v>
      </c>
      <c r="B13" s="18">
        <f>B11+B12</f>
        <v>-42446948.515610695</v>
      </c>
    </row>
    <row r="14" spans="1:2" x14ac:dyDescent="0.25">
      <c r="A14" s="19" t="s">
        <v>65</v>
      </c>
      <c r="B14" s="24">
        <f>B13/Assumptions!B31</f>
        <v>-0.33970875395643646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390584625.2483653</v>
      </c>
    </row>
    <row r="18" spans="1:2" x14ac:dyDescent="0.25">
      <c r="A18" t="s">
        <v>60</v>
      </c>
      <c r="B18" s="18">
        <f>B17*Assumptions!B13</f>
        <v>5496893720.677721</v>
      </c>
    </row>
    <row r="19" spans="1:2" x14ac:dyDescent="0.25">
      <c r="A19" t="s">
        <v>61</v>
      </c>
      <c r="B19" s="18">
        <f>B18/(1+Assumptions!B26)^(5-0.5*Assumptions!B32)</f>
        <v>3876498339.591174</v>
      </c>
    </row>
    <row r="20" spans="1:2" x14ac:dyDescent="0.25">
      <c r="A20" t="s">
        <v>62</v>
      </c>
      <c r="B20" s="18">
        <f>Forecast!B17+B19</f>
        <v>2778198665.6680093</v>
      </c>
    </row>
    <row r="21" spans="1:2" x14ac:dyDescent="0.25">
      <c r="A21" t="s">
        <v>63</v>
      </c>
      <c r="B21" s="18">
        <f>-Assumptions!B30</f>
        <v>-1445203000</v>
      </c>
    </row>
    <row r="22" spans="1:2" x14ac:dyDescent="0.25">
      <c r="A22" t="s">
        <v>64</v>
      </c>
      <c r="B22" s="18">
        <f>B20+B21</f>
        <v>1332995665.6680093</v>
      </c>
    </row>
    <row r="23" spans="1:2" x14ac:dyDescent="0.25">
      <c r="A23" s="19" t="s">
        <v>65</v>
      </c>
      <c r="B23" s="25">
        <f>B22/Assumptions!B31</f>
        <v>10.668147239061787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17.28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-0.33970875395643646</v>
      </c>
    </row>
    <row r="29" spans="1:2" x14ac:dyDescent="0.25">
      <c r="A29" s="19" t="s">
        <v>73</v>
      </c>
      <c r="B29" s="12">
        <f>B28/B26-1</f>
        <v>-1.019659071409516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0.060703</v>
      </c>
      <c r="B5" s="31">
        <v>9.741229304519127</v>
      </c>
      <c r="C5" s="31">
        <v>11.25873842707621</v>
      </c>
      <c r="D5" s="31">
        <v>13.174435180705792</v>
      </c>
      <c r="E5" s="31">
        <v>15.682854772589208</v>
      </c>
      <c r="F5" s="31">
        <v>19.129904006360526</v>
      </c>
    </row>
    <row r="6" spans="1:6" x14ac:dyDescent="0.25">
      <c r="A6" s="30">
        <v>0.070703</v>
      </c>
      <c r="B6" s="31">
        <v>3.446648851448637</v>
      </c>
      <c r="C6" s="31">
        <v>4.09628875840954</v>
      </c>
      <c r="D6" s="31">
        <v>4.867965202633068</v>
      </c>
      <c r="E6" s="31">
        <v>5.806651479919045</v>
      </c>
      <c r="F6" s="31">
        <v>6.982513892705248</v>
      </c>
    </row>
    <row r="7" spans="1:6" x14ac:dyDescent="0.25">
      <c r="A7" s="30">
        <v>0.080703</v>
      </c>
      <c r="B7" s="31">
        <v>-0.8289590829867435</v>
      </c>
      <c r="C7" s="31">
        <v>-0.5973170095970028</v>
      </c>
      <c r="D7" s="32">
        <v>-0.3399113708872725</v>
      </c>
      <c r="E7" s="31">
        <v>-0.04912026125432538</v>
      </c>
      <c r="F7" s="31">
        <v>0.2860136320350896</v>
      </c>
    </row>
    <row r="8" spans="1:6" x14ac:dyDescent="0.25">
      <c r="A8" s="30">
        <v>0.090703</v>
      </c>
      <c r="B8" s="31">
        <v>-3.741368731695732</v>
      </c>
      <c r="C8" s="31">
        <v>-3.660535519649427</v>
      </c>
      <c r="D8" s="31">
        <v>-3.5797023076031254</v>
      </c>
      <c r="E8" s="31">
        <v>-3.498869095556818</v>
      </c>
      <c r="F8" s="31">
        <v>-3.4180358835105187</v>
      </c>
    </row>
    <row r="9" spans="1:6" x14ac:dyDescent="0.25">
      <c r="A9" s="30">
        <v>0.100703</v>
      </c>
      <c r="B9" s="31">
        <v>-5.76806625539873</v>
      </c>
      <c r="C9" s="31">
        <v>-5.698189506880244</v>
      </c>
      <c r="D9" s="31">
        <v>-5.628312758361761</v>
      </c>
      <c r="E9" s="31">
        <v>-5.558436009843278</v>
      </c>
      <c r="F9" s="31">
        <v>-5.488559261324797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197443000</v>
      </c>
      <c r="C5" s="18">
        <v>176906000</v>
      </c>
      <c r="D5" s="18">
        <v>191322000</v>
      </c>
      <c r="E5" s="18">
        <v>139281000</v>
      </c>
      <c r="F5" s="8" t="s">
        <v>84</v>
      </c>
    </row>
    <row r="6" spans="1:6" x14ac:dyDescent="0.25">
      <c r="A6" t="s">
        <v>44</v>
      </c>
      <c r="B6" s="18">
        <v>217125000</v>
      </c>
      <c r="C6" s="18">
        <v>128750000</v>
      </c>
      <c r="D6" s="18">
        <v>168584000</v>
      </c>
      <c r="E6" s="18">
        <v>122394000</v>
      </c>
      <c r="F6" s="8" t="s">
        <v>85</v>
      </c>
    </row>
    <row r="7" spans="1:6" x14ac:dyDescent="0.25">
      <c r="A7" t="s">
        <v>86</v>
      </c>
      <c r="B7" s="18">
        <v>48423000</v>
      </c>
      <c r="C7" s="18">
        <v>43656000</v>
      </c>
      <c r="D7" s="18">
        <v>31476000</v>
      </c>
      <c r="E7" s="18">
        <v>24989000</v>
      </c>
      <c r="F7" s="8" t="s">
        <v>87</v>
      </c>
    </row>
    <row r="8" spans="1:6" x14ac:dyDescent="0.25">
      <c r="A8" t="s">
        <v>88</v>
      </c>
      <c r="B8" s="18">
        <v>398262000</v>
      </c>
      <c r="C8" s="18">
        <v>187385000</v>
      </c>
      <c r="D8" s="18">
        <v>328608000</v>
      </c>
      <c r="E8" s="18">
        <v>331469000</v>
      </c>
      <c r="F8" s="8" t="s">
        <v>89</v>
      </c>
    </row>
    <row r="9" spans="1:6" x14ac:dyDescent="0.25">
      <c r="A9" t="s">
        <v>90</v>
      </c>
      <c r="B9" s="18">
        <v>15828000</v>
      </c>
      <c r="C9" s="18">
        <v>20567000</v>
      </c>
      <c r="D9" s="18">
        <v>58079000</v>
      </c>
      <c r="E9" s="18">
        <v>11511000</v>
      </c>
      <c r="F9" s="8" t="s">
        <v>91</v>
      </c>
    </row>
    <row r="10" spans="1:6" x14ac:dyDescent="0.25">
      <c r="A10" t="s">
        <v>92</v>
      </c>
      <c r="B10" s="18">
        <v>1508758000</v>
      </c>
      <c r="C10" s="18">
        <v>1147432000</v>
      </c>
      <c r="D10" s="18">
        <v>1060051000</v>
      </c>
      <c r="E10" s="18">
        <v>881551000</v>
      </c>
      <c r="F10" s="8" t="s">
        <v>93</v>
      </c>
    </row>
    <row r="11" spans="1:6" x14ac:dyDescent="0.25">
      <c r="A11" t="s">
        <v>94</v>
      </c>
      <c r="B11" s="18">
        <v>63555000</v>
      </c>
      <c r="C11" s="18">
        <v>44549000</v>
      </c>
      <c r="D11" s="18">
        <v>65944000</v>
      </c>
      <c r="E11" s="18">
        <v>138396000</v>
      </c>
      <c r="F11" s="8" t="s">
        <v>95</v>
      </c>
    </row>
    <row r="12" spans="1:6" x14ac:dyDescent="0.25">
      <c r="A12" t="s">
        <v>32</v>
      </c>
      <c r="B12" s="34">
        <v>124951000</v>
      </c>
      <c r="C12" s="34">
        <v>124951000</v>
      </c>
      <c r="D12" s="34">
        <v>124951000</v>
      </c>
      <c r="E12" s="34">
        <v>124951000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2026-09-19T00:06:59Z</dcterms:modified>
</cp:coreProperties>
</file>