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<sst xmlns="http://schemas.openxmlformats.org/spreadsheetml/2006/main" count="114" uniqueCount="102">
  <si>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Super Micro Computer, Inc. (SMCI)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</si>
  <si>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</si>
  <si>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</si>
  <si>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</si>
  <si>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</si>
  <si>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</si>
  <si>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</si>
  <si>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</si>
  <si>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</si>
  <si>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</si>
  <si>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</si>
  <si>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</si>
  <si>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</si>
  <si>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</si>
  <si>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</si>
  <si>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</si>
  <si>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</si>
  <si>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</si>
  <si>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</si>
  <si>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</si>
  <si>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</si>
  <si>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</si>
  <si>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</si>
  <si>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</si>
  <si>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</si>
  <si>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</si>
  <si>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</si>
  <si>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</si>
  <si>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</si>
  <si>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</si>
  <si>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</si>
  <si>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</si>
  <si>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</si>
  <si>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</si>
  <si>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</si>
  <si>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</si>
  <si>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</si>
  <si>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</si>
  <si>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</si>
  <si>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</si>
  <si>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</si>
  <si>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</si>
  <si>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</si>
  <si>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</si>
  <si>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</si>
  <si>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</si>
  <si>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</si>
  <si>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</si>
  <si>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</si>
  <si>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</si>
  <si>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</si>
  <si>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</si>
  <si>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</si>
  <si>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</si>
  <si>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</si>
  <si>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</si>
  <si>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</si>
  <si>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</si>
  <si>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</si>
  <si>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</si>
  <si>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</si>
  <si>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</si>
  <si>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</si>
  <si>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</si>
  <si>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</si>
  <si>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</si>
  <si>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</si>
  <si>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</si>
  <si>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</si>
  <si>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</si>
  <si>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</si>
  <si>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</si>
  <si>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</si>
  <si>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</si>
  <si>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</si>
  <si>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</si>
  <si>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</si>
  <si>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</si>
  <si>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</si>
  <si>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</si>
  <si>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</si>
  <si>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</si>
  <si>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</si>
  <si>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</si>
  <si>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</si>
  <si>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</si>
  <si>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</si>
  <si>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</si>
  <si>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</si>
  <si>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</si>
  <si>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</si>
  <si>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</si>
  <si>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</si>
  <si>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</si>
  <si>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</si>
  <si>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</si>
  <si>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</si>
  <si>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</si>
  <si>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0.58%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</si>
  <si>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Free cashflow is negative in at least one forecast year, so terminal value carries most of the valuation.</t>
  </si>
  <si>
    <t>Adjusted: Capital expenditure runs at 1.0%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</si>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</sst>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0.07889400231027699</v>
      </c>
    </row>
    <row r="8" spans="1:2" x14ac:dyDescent="0.25">
      <c r="A8" t="s">
        <v>6</v>
      </c>
      <c r="B8" s="6">
        <v>0.13806903960283012</v>
      </c>
    </row>
    <row r="9" spans="1:2" x14ac:dyDescent="0.25">
      <c r="A9" t="s">
        <v>7</v>
      </c>
      <c r="B9" s="6">
        <v>0.003111852489211874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0.48763522040883733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9.410185435792604</v>
      </c>
    </row>
    <row r="14" spans="1:3" x14ac:dyDescent="0.25">
      <c r="A14" t="s">
        <v>12</v>
      </c>
      <c r="B14" s="6">
        <v>0.1316654417613416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1.6673200000000001</v>
      </c>
      <c r="C19" s="8" t="s">
        <v>19</v>
      </c>
    </row>
    <row r="20" spans="1:2" x14ac:dyDescent="0.25">
      <c r="A20" t="s">
        <v>20</v>
      </c>
      <c r="B20" s="10">
        <f>B17+B19*B18</f>
        <v>0.14168260000000002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25680777216</v>
      </c>
    </row>
    <row r="23" spans="1:2" x14ac:dyDescent="0.25">
      <c r="A23" t="s">
        <v>24</v>
      </c>
      <c r="B23" s="11">
        <v>8760913000</v>
      </c>
    </row>
    <row r="24" spans="1:2" x14ac:dyDescent="0.25">
      <c r="A24" t="s">
        <v>25</v>
      </c>
      <c r="B24" s="10">
        <f>B22/(B22+B23)</f>
        <v>0.7456305731496856</v>
      </c>
    </row>
    <row r="25" spans="1:2" x14ac:dyDescent="0.25">
      <c r="A25" t="s">
        <v>26</v>
      </c>
      <c r="B25" s="10">
        <f>1-B24</f>
        <v>0.2543694268503144</v>
      </c>
    </row>
    <row r="26" spans="1:2" x14ac:dyDescent="0.25">
      <c r="A26" t="s">
        <v>27</v>
      </c>
      <c r="B26" s="12">
        <f>B24*B20+B25*B21*(1-B8)</f>
        <v>0.1166009374846885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39063072000</v>
      </c>
      <c r="C29" s="8" t="s">
        <v>30</v>
      </c>
    </row>
    <row r="30" spans="1:2" x14ac:dyDescent="0.25">
      <c r="A30" t="s">
        <v>31</v>
      </c>
      <c r="B30" s="11">
        <v>1239439000</v>
      </c>
    </row>
    <row r="31" spans="1:2" x14ac:dyDescent="0.25">
      <c r="A31" t="s">
        <v>32</v>
      </c>
      <c r="B31" s="13">
        <v>697348000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58594608000</v>
      </c>
      <c r="C6" s="18">
        <f>B6*(1+C5)</f>
        <v>87891912000</v>
      </c>
      <c r="D6" s="18">
        <f>C6*(1+D5)</f>
        <v>131837868000</v>
      </c>
      <c r="E6" s="18">
        <f>D6*(1+E5)</f>
        <v>197756802000</v>
      </c>
      <c r="F6" s="18">
        <f>E6*(1+F5)</f>
        <v>296635203000</v>
      </c>
    </row>
    <row r="7" spans="1:6" x14ac:dyDescent="0.25">
      <c r="A7" t="s">
        <v>5</v>
      </c>
      <c r="B7" s="10">
        <f>Assumptions!B7</f>
        <v>0.07889400231027699</v>
      </c>
      <c r="C7" s="10">
        <f>Assumptions!B7</f>
        <v>0.07889400231027699</v>
      </c>
      <c r="D7" s="10">
        <f>Assumptions!B7</f>
        <v>0.07889400231027699</v>
      </c>
      <c r="E7" s="10">
        <f>Assumptions!B7</f>
        <v>0.07889400231027699</v>
      </c>
      <c r="F7" s="10">
        <f>Assumptions!B7</f>
        <v>0.07889400231027699</v>
      </c>
    </row>
    <row r="8" spans="1:6" x14ac:dyDescent="0.25">
      <c r="A8" t="s">
        <v>44</v>
      </c>
      <c r="B8" s="18">
        <f>B6*B7</f>
        <v>4622763138.921775</v>
      </c>
      <c r="C8" s="18">
        <f>C6*C7</f>
        <v>6934144708.382662</v>
      </c>
      <c r="D8" s="18">
        <f>D6*D7</f>
        <v>10401217062.573994</v>
      </c>
      <c r="E8" s="18">
        <f>E6*E7</f>
        <v>15601825593.860989</v>
      </c>
      <c r="F8" s="18">
        <f>F6*F7</f>
        <v>23402738390.791485</v>
      </c>
    </row>
    <row r="9" spans="1:6" x14ac:dyDescent="0.25">
      <c r="A9" t="s">
        <v>45</v>
      </c>
      <c r="B9" s="18">
        <f>B8*(1-Assumptions!B8)</f>
        <v>3984502672.019481</v>
      </c>
      <c r="C9" s="18">
        <f>C8*(1-Assumptions!B8)</f>
        <v>5976754008.029222</v>
      </c>
      <c r="D9" s="18">
        <f>D8*(1-Assumptions!B8)</f>
        <v>8965131012.043833</v>
      </c>
      <c r="E9" s="18">
        <f>E8*(1-Assumptions!B8)</f>
        <v>13447696518.065746</v>
      </c>
      <c r="F9" s="18">
        <f>F8*(1-Assumptions!B8)</f>
        <v>20171544777.09862</v>
      </c>
    </row>
    <row r="10" spans="1:6" x14ac:dyDescent="0.25">
      <c r="A10" t="s">
        <v>46</v>
      </c>
      <c r="B10" s="18">
        <f>B6*Assumptions!B9</f>
        <v>182337776.759194</v>
      </c>
      <c r="C10" s="18">
        <f>C6*Assumptions!B9</f>
        <v>273506665.13879097</v>
      </c>
      <c r="D10" s="18">
        <f>D6*Assumptions!B9</f>
        <v>410259997.7081865</v>
      </c>
      <c r="E10" s="18">
        <f>E6*Assumptions!B9</f>
        <v>615389996.5622797</v>
      </c>
      <c r="F10" s="18">
        <f>F6*Assumptions!B9</f>
        <v>923084994.8434196</v>
      </c>
    </row>
    <row r="11" spans="1:6" x14ac:dyDescent="0.25">
      <c r="A11" t="s">
        <v>47</v>
      </c>
      <c r="B11" s="18">
        <f>-B6*Assumptions!B10</f>
        <v>-585946080</v>
      </c>
      <c r="C11" s="18">
        <f>-C6*Assumptions!B10</f>
        <v>-878919120</v>
      </c>
      <c r="D11" s="18">
        <f>-D6*Assumptions!B10</f>
        <v>-1318378680</v>
      </c>
      <c r="E11" s="18">
        <f>-E6*Assumptions!B10</f>
        <v>-1977568020</v>
      </c>
      <c r="F11" s="18">
        <f>-F6*Assumptions!B10</f>
        <v>-2966352030</v>
      </c>
    </row>
    <row r="12" spans="1:6" x14ac:dyDescent="0.25">
      <c r="A12" t="s">
        <v>48</v>
      </c>
      <c r="B12" s="18">
        <f>-(B6-Assumptions!B29)*Assumptions!B11</f>
        <v>-9524264862.28314</v>
      </c>
      <c r="C12" s="18">
        <f>-(C6-B6)*Assumptions!B11</f>
        <v>-14286397293.424711</v>
      </c>
      <c r="D12" s="18">
        <f>-(D6-C6)*Assumptions!B11</f>
        <v>-21429595940.137066</v>
      </c>
      <c r="E12" s="18">
        <f>-(E6-D6)*Assumptions!B11</f>
        <v>-32144393910.2056</v>
      </c>
      <c r="F12" s="18">
        <f>-(F6-E6)*Assumptions!B11</f>
        <v>-48216590865.3084</v>
      </c>
    </row>
    <row r="13" spans="1:6" x14ac:dyDescent="0.25">
      <c r="A13" s="19" t="s">
        <v>49</v>
      </c>
      <c r="B13" s="20">
        <f>B9+B10+B11+B12</f>
        <v>-5943370493.504465</v>
      </c>
      <c r="C13" s="20">
        <f>C9+C10+C11+C12</f>
        <v>-8915055740.256699</v>
      </c>
      <c r="D13" s="20">
        <f>D9+D10+D11+D12</f>
        <v>-13372583610.385046</v>
      </c>
      <c r="E13" s="20">
        <f>E9+E10+E11+E12</f>
        <v>-20058875415.577576</v>
      </c>
      <c r="F13" s="20">
        <f>F9+F10+F11+F12</f>
        <v>-30088313123.366364</v>
      </c>
    </row>
    <row r="14" spans="1:6" x14ac:dyDescent="0.25">
      <c r="A14" t="s">
        <v>50</v>
      </c>
      <c r="B14" s="21">
        <f>1/(1+Assumptions!$B$26)^(1-0.5*Assumptions!$B$32)</f>
        <v>0.9463482991796669</v>
      </c>
      <c r="C14" s="21">
        <f>1/(1+Assumptions!$B$26)^(2-0.5*Assumptions!$B$32)</f>
        <v>0.8475259758526251</v>
      </c>
      <c r="D14" s="21">
        <f>1/(1+Assumptions!$B$26)^(3-0.5*Assumptions!$B$32)</f>
        <v>0.75902316342471</v>
      </c>
      <c r="E14" s="21">
        <f>1/(1+Assumptions!$B$26)^(4-0.5*Assumptions!$B$32)</f>
        <v>0.6797622480369072</v>
      </c>
      <c r="F14" s="21">
        <f>1/(1+Assumptions!$B$26)^(5-0.5*Assumptions!$B$32)</f>
        <v>0.6087781455460478</v>
      </c>
    </row>
    <row r="15" spans="1:6" x14ac:dyDescent="0.25">
      <c r="A15" s="19" t="s">
        <v>51</v>
      </c>
      <c r="B15" s="20">
        <f>B13*B14</f>
        <v>-5624498557.922568</v>
      </c>
      <c r="C15" s="20">
        <f>C13*C14</f>
        <v>-7555741316.041606</v>
      </c>
      <c r="D15" s="20">
        <f>D13*D14</f>
        <v>-10150100715.115887</v>
      </c>
      <c r="E15" s="20">
        <f>E13*E14</f>
        <v>-13635266245.585264</v>
      </c>
      <c r="F15" s="20">
        <f>F13*F14</f>
        <v>-18317107465.851788</v>
      </c>
    </row>
    <row r="17" spans="1:2" x14ac:dyDescent="0.25">
      <c r="A17" s="22" t="s">
        <v>52</v>
      </c>
      <c r="B17" s="23">
        <f>SUM(B15:F15)</f>
        <v>-55282714300.51712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-30088313123.366364</v>
      </c>
    </row>
    <row r="5" spans="1:2" x14ac:dyDescent="0.25">
      <c r="A5" t="s">
        <v>56</v>
      </c>
      <c r="B5" s="18">
        <f>IF(Assumptions!$B$33=0,B4,B4-Forecast!F11-Forecast!F10-Forecast!F12)</f>
        <v>20505810745.492477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0.1898751841452468</v>
      </c>
    </row>
    <row r="7" spans="1:2" x14ac:dyDescent="0.25">
      <c r="A7" t="s">
        <v>58</v>
      </c>
      <c r="B7" s="18">
        <f>-MAX(Forecast!F9,0)*B6</f>
        <v>-3893544591.3479643</v>
      </c>
    </row>
    <row r="8" spans="1:2" x14ac:dyDescent="0.25">
      <c r="A8" t="s">
        <v>59</v>
      </c>
      <c r="B8" s="18">
        <f>IF(OR(Assumptions!$B$33=0,Assumptions!B12&lt;=0),B5,MAX(B5+B7,0))</f>
        <v>16612266154.144512</v>
      </c>
    </row>
    <row r="9" spans="1:2" x14ac:dyDescent="0.25">
      <c r="A9" t="s">
        <v>60</v>
      </c>
      <c r="B9" s="18">
        <f>B8*(1+Assumptions!B12)/(Assumptions!B26-Assumptions!B12)</f>
        <v>185888630352.11136</v>
      </c>
    </row>
    <row r="10" spans="1:2" x14ac:dyDescent="0.25">
      <c r="A10" t="s">
        <v>61</v>
      </c>
      <c r="B10" s="18">
        <f>B9/(1+Assumptions!B26)^(5-0.5*Assumptions!B32)</f>
        <v>113164935663.85313</v>
      </c>
    </row>
    <row r="11" spans="1:2" x14ac:dyDescent="0.25">
      <c r="A11" t="s">
        <v>62</v>
      </c>
      <c r="B11" s="18">
        <f>Forecast!B17+B10</f>
        <v>57882221363.33601</v>
      </c>
    </row>
    <row r="12" spans="1:2" x14ac:dyDescent="0.25">
      <c r="A12" t="s">
        <v>63</v>
      </c>
      <c r="B12" s="18">
        <f>-Assumptions!B30</f>
        <v>-1239439000</v>
      </c>
    </row>
    <row r="13" spans="1:2" x14ac:dyDescent="0.25">
      <c r="A13" t="s">
        <v>64</v>
      </c>
      <c r="B13" s="18">
        <f>B11+B12</f>
        <v>56642782363.33601</v>
      </c>
    </row>
    <row r="14" spans="1:2" x14ac:dyDescent="0.25">
      <c r="A14" s="19" t="s">
        <v>65</v>
      </c>
      <c r="B14" s="24">
        <f>B13/Assumptions!B31</f>
        <v>81.2259909877651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24325823385.634903</v>
      </c>
    </row>
    <row r="18" spans="1:2" x14ac:dyDescent="0.25">
      <c r="A18" t="s">
        <v>60</v>
      </c>
      <c r="B18" s="18">
        <f>B17*Assumptions!B13</f>
        <v>228910508937.1647</v>
      </c>
    </row>
    <row r="19" spans="1:2" x14ac:dyDescent="0.25">
      <c r="A19" t="s">
        <v>61</v>
      </c>
      <c r="B19" s="18">
        <f>B18/(1+Assumptions!B26)^(5-0.5*Assumptions!B32)</f>
        <v>139355715126.76913</v>
      </c>
    </row>
    <row r="20" spans="1:2" x14ac:dyDescent="0.25">
      <c r="A20" t="s">
        <v>62</v>
      </c>
      <c r="B20" s="18">
        <f>Forecast!B17+B19</f>
        <v>84073000826.25201</v>
      </c>
    </row>
    <row r="21" spans="1:2" x14ac:dyDescent="0.25">
      <c r="A21" t="s">
        <v>63</v>
      </c>
      <c r="B21" s="18">
        <f>-Assumptions!B30</f>
        <v>-1239439000</v>
      </c>
    </row>
    <row r="22" spans="1:2" x14ac:dyDescent="0.25">
      <c r="A22" t="s">
        <v>64</v>
      </c>
      <c r="B22" s="18">
        <f>B20+B21</f>
        <v>82833561826.25201</v>
      </c>
    </row>
    <row r="23" spans="1:2" x14ac:dyDescent="0.25">
      <c r="A23" s="19" t="s">
        <v>65</v>
      </c>
      <c r="B23" s="25">
        <f>B22/Assumptions!B31</f>
        <v>118.78368020880825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39.09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81.2259909877651</v>
      </c>
    </row>
    <row r="29" spans="1:2" x14ac:dyDescent="0.25">
      <c r="A29" s="19" t="s">
        <v>73</v>
      </c>
      <c r="B29" s="12">
        <f>B28/B26-1</f>
        <v>1.0779225118384521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0.096601</v>
      </c>
      <c r="B5" s="31">
        <v>128.41839661890677</v>
      </c>
      <c r="C5" s="31">
        <v>133.69200450538492</v>
      </c>
      <c r="D5" s="31">
        <v>139.59915128055277</v>
      </c>
      <c r="E5" s="31">
        <v>146.28252374086026</v>
      </c>
      <c r="F5" s="31">
        <v>153.93113481267358</v>
      </c>
    </row>
    <row r="6" spans="1:6" x14ac:dyDescent="0.25">
      <c r="A6" s="30">
        <v>0.106601</v>
      </c>
      <c r="B6" s="31">
        <v>99.74402102268499</v>
      </c>
      <c r="C6" s="31">
        <v>102.92700568344212</v>
      </c>
      <c r="D6" s="31">
        <v>106.41330704140101</v>
      </c>
      <c r="E6" s="31">
        <v>110.26232054124321</v>
      </c>
      <c r="F6" s="31">
        <v>114.55003230227209</v>
      </c>
    </row>
    <row r="7" spans="1:6" x14ac:dyDescent="0.25">
      <c r="A7" s="30">
        <v>0.116601</v>
      </c>
      <c r="B7" s="31">
        <v>77.40889032787354</v>
      </c>
      <c r="C7" s="31">
        <v>79.2537762406831</v>
      </c>
      <c r="D7" s="32">
        <v>81.22585297387005</v>
      </c>
      <c r="E7" s="31">
        <v>83.34715101560062</v>
      </c>
      <c r="F7" s="31">
        <v>85.64510041732203</v>
      </c>
    </row>
    <row r="8" spans="1:6" x14ac:dyDescent="0.25">
      <c r="A8" s="30">
        <v>0.126601</v>
      </c>
      <c r="B8" s="31">
        <v>59.67086022186201</v>
      </c>
      <c r="C8" s="31">
        <v>60.63713824762356</v>
      </c>
      <c r="D8" s="31">
        <v>61.63424349322151</v>
      </c>
      <c r="E8" s="31">
        <v>62.66696274448175</v>
      </c>
      <c r="F8" s="31">
        <v>63.741127925563625</v>
      </c>
    </row>
    <row r="9" spans="1:6" x14ac:dyDescent="0.25">
      <c r="A9" s="30">
        <v>0.136601</v>
      </c>
      <c r="B9" s="31">
        <v>45.93104159809044</v>
      </c>
      <c r="C9" s="31">
        <v>46.535974712476005</v>
      </c>
      <c r="D9" s="31">
        <v>47.1409078268615</v>
      </c>
      <c r="E9" s="31">
        <v>47.74584094124707</v>
      </c>
      <c r="F9" s="31">
        <v>48.35077405563261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39063072000</v>
      </c>
      <c r="C5" s="18">
        <v>21972042000</v>
      </c>
      <c r="D5" s="18">
        <v>14989251000</v>
      </c>
      <c r="E5" s="18">
        <v>7123482000</v>
      </c>
      <c r="F5" s="8" t="s">
        <v>84</v>
      </c>
    </row>
    <row r="6" spans="1:6" x14ac:dyDescent="0.25">
      <c r="A6" t="s">
        <v>44</v>
      </c>
      <c r="B6" s="18">
        <v>2770486000</v>
      </c>
      <c r="C6" s="18">
        <v>1252994000</v>
      </c>
      <c r="D6" s="18">
        <v>1210774000</v>
      </c>
      <c r="E6" s="18">
        <v>761142000</v>
      </c>
      <c r="F6" s="8" t="s">
        <v>85</v>
      </c>
    </row>
    <row r="7" spans="1:6" x14ac:dyDescent="0.25">
      <c r="A7" t="s">
        <v>86</v>
      </c>
      <c r="B7" s="18">
        <v>90267000</v>
      </c>
      <c r="C7" s="18">
        <v>58344000</v>
      </c>
      <c r="D7" s="18">
        <v>38693000</v>
      </c>
      <c r="E7" s="18">
        <v>34904000</v>
      </c>
      <c r="F7" s="8" t="s">
        <v>87</v>
      </c>
    </row>
    <row r="8" spans="1:6" x14ac:dyDescent="0.25">
      <c r="A8" t="s">
        <v>88</v>
      </c>
      <c r="B8" s="18">
        <v>161999000</v>
      </c>
      <c r="C8" s="18">
        <v>127214000</v>
      </c>
      <c r="D8" s="18">
        <v>124279000</v>
      </c>
      <c r="E8" s="18">
        <v>36793000</v>
      </c>
      <c r="F8" s="8" t="s">
        <v>89</v>
      </c>
    </row>
    <row r="9" spans="1:6" x14ac:dyDescent="0.25">
      <c r="A9" t="s">
        <v>90</v>
      </c>
      <c r="B9" s="18">
        <v>9648269000</v>
      </c>
      <c r="C9" s="18">
        <v>-157944000</v>
      </c>
      <c r="D9" s="18">
        <v>3835626000</v>
      </c>
      <c r="E9" s="18">
        <v>-26868000</v>
      </c>
      <c r="F9" s="8" t="s">
        <v>91</v>
      </c>
    </row>
    <row r="10" spans="1:6" x14ac:dyDescent="0.25">
      <c r="A10" t="s">
        <v>92</v>
      </c>
      <c r="B10" s="18">
        <v>8760913000</v>
      </c>
      <c r="C10" s="18">
        <v>4778842000</v>
      </c>
      <c r="D10" s="18">
        <v>2183393000</v>
      </c>
      <c r="E10" s="18">
        <v>290302000</v>
      </c>
      <c r="F10" s="8" t="s">
        <v>93</v>
      </c>
    </row>
    <row r="11" spans="1:6" x14ac:dyDescent="0.25">
      <c r="A11" t="s">
        <v>94</v>
      </c>
      <c r="B11" s="18">
        <v>7521474000</v>
      </c>
      <c r="C11" s="18">
        <v>5169911000</v>
      </c>
      <c r="D11" s="18">
        <v>1669766000</v>
      </c>
      <c r="E11" s="18">
        <v>440459000</v>
      </c>
      <c r="F11" s="8" t="s">
        <v>95</v>
      </c>
    </row>
    <row r="12" spans="1:6" x14ac:dyDescent="0.25">
      <c r="A12" t="s">
        <v>32</v>
      </c>
      <c r="B12" s="34">
        <v>697348000</v>
      </c>
      <c r="C12" s="34">
        <v>628402000</v>
      </c>
      <c r="D12" s="34">
        <v>602150000</v>
      </c>
      <c r="E12" s="34">
        <v>559700000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2026-09-19T00:07:21Z</dcterms:modified>
</cp:coreProperties>
</file>