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<sst xmlns="http://schemas.openxmlformats.org/spreadsheetml/2006/main" count="122" uniqueCount="109">
  <si>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Super Micro Computer, Inc. (SMCI)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</si>
  <si>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</si>
  <si>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</si>
  <si>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</si>
  <si>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</si>
  <si>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</si>
  <si>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</si>
  <si>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</si>
  <si>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</si>
  <si>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</si>
  <si>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</si>
  <si>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</si>
  <si>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</si>
  <si>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</si>
  <si>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</si>
  <si>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</si>
  <si>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</si>
  <si>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</si>
  <si>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</si>
  <si>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</si>
  <si>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</si>
  <si>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</si>
  <si>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</si>
  <si>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</si>
  <si>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14.2x interest cover. Book interest / average debt was lower, at 2.9%.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</si>
  <si>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</si>
  <si>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</si>
  <si>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</si>
  <si>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</si>
  <si>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</si>
  <si>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</si>
  <si>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</si>
  <si>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</si>
  <si>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</si>
  <si>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</si>
  <si>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</si>
  <si>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</si>
  <si>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</si>
  <si>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</si>
  <si>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</si>
  <si>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</si>
  <si>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</si>
  <si>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</si>
  <si>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</si>
  <si>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</si>
  <si>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</si>
  <si>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</si>
  <si>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</si>
  <si>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</si>
  <si>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</si>
  <si>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</si>
  <si>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</si>
  <si>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</si>
  <si>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</si>
  <si>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</si>
  <si>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</si>
  <si>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</si>
  <si>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</si>
  <si>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</si>
  <si>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</si>
  <si>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</si>
  <si>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</si>
  <si>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</si>
  <si>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</si>
  <si>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</si>
  <si>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</si>
  <si>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</si>
  <si>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</si>
  <si>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</si>
  <si>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</si>
  <si>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</si>
  <si>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</si>
  <si>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</si>
  <si>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</si>
  <si>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</si>
  <si>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</si>
  <si>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</si>
  <si>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</si>
  <si>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</si>
  <si>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</si>
  <si>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</si>
  <si>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</si>
  <si>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</si>
  <si>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</si>
  <si>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</si>
  <si>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</si>
  <si>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</si>
  <si>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</si>
  <si>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</si>
  <si>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</si>
  <si>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</si>
  <si>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</si>
  <si>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</si>
  <si>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</si>
  <si>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</si>
  <si>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</si>
  <si>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</si>
  <si>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</si>
  <si>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</si>
  <si>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</si>
  <si>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</si>
  <si>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</si>
  <si>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</si>
  <si>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</si>
  <si>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</si>
  <si>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</si>
  <si>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</si>
  <si>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0.3%.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</si>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</sst>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0.07889400231027699</v>
      </c>
    </row>
    <row r="8" spans="1:2" x14ac:dyDescent="0.25">
      <c r="A8" t="s">
        <v>5</v>
      </c>
      <c r="B8" s="5">
        <v>0.13806903960283012</v>
      </c>
    </row>
    <row r="9" spans="1:2" x14ac:dyDescent="0.25">
      <c r="A9" t="s">
        <v>6</v>
      </c>
      <c r="B9" s="5">
        <v>0.003111852489211874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0.314268495223868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8.000148489575997</v>
      </c>
    </row>
    <row r="14" spans="1:3" x14ac:dyDescent="0.25">
      <c r="A14" t="s">
        <v>12</v>
      </c>
      <c r="B14" s="5">
        <v>0.1316654417613416</v>
      </c>
      <c r="C14" s="6" t="s">
        <v>13</v>
      </c>
    </row>
    <row r="15" spans="1:3" x14ac:dyDescent="0.25">
      <c r="A15" t="s">
        <v>14</v>
      </c>
      <c r="B15" s="5">
        <v>0.0018044870705428867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1.67603</v>
      </c>
      <c r="C19" s="6" t="s">
        <v>21</v>
      </c>
    </row>
    <row r="20" spans="1:2" x14ac:dyDescent="0.25">
      <c r="A20" t="s">
        <v>22</v>
      </c>
      <c r="B20" s="9">
        <f>B17+B19*B18</f>
        <v>0.11983606899999999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21647009792</v>
      </c>
    </row>
    <row r="23" spans="1:2" x14ac:dyDescent="0.25">
      <c r="A23" t="s">
        <v>26</v>
      </c>
      <c r="B23" s="10">
        <v>8760913000</v>
      </c>
    </row>
    <row r="24" spans="1:2" x14ac:dyDescent="0.25">
      <c r="A24" t="s">
        <v>27</v>
      </c>
      <c r="B24" s="9">
        <f>B22/(B22+B23)</f>
        <v>0.7118871598060982</v>
      </c>
    </row>
    <row r="25" spans="1:2" x14ac:dyDescent="0.25">
      <c r="A25" t="s">
        <v>28</v>
      </c>
      <c r="B25" s="9">
        <f>1-B24</f>
        <v>0.2881128401939018</v>
      </c>
    </row>
    <row r="26" spans="1:2" x14ac:dyDescent="0.25">
      <c r="A26" t="s">
        <v>29</v>
      </c>
      <c r="B26" s="11">
        <f>B24*B20+B25*B21*(1-B8)</f>
        <v>0.09845652778382209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39063072000</v>
      </c>
      <c r="C29" s="6" t="s">
        <v>32</v>
      </c>
    </row>
    <row r="30" spans="1:2" x14ac:dyDescent="0.25">
      <c r="A30" t="s">
        <v>33</v>
      </c>
      <c r="B30" s="10">
        <v>1239439000</v>
      </c>
    </row>
    <row r="31" spans="1:2" x14ac:dyDescent="0.25">
      <c r="A31" t="s">
        <v>34</v>
      </c>
      <c r="B31" s="12">
        <v>697348000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0.16248393326085875</v>
      </c>
      <c r="D5" s="5">
        <v>0.1452984416032514</v>
      </c>
      <c r="E5" s="5">
        <v>0.12811294994564407</v>
      </c>
      <c r="F5" s="5">
        <v>0.11092745828803671</v>
      </c>
      <c r="G5" s="5">
        <v>0.09374196663042937</v>
      </c>
      <c r="H5" s="5">
        <v>0.07655647497282203</v>
      </c>
      <c r="I5" s="5">
        <v>0.059370983315214676</v>
      </c>
      <c r="J5" s="5">
        <v>0.042185491657607335</v>
      </c>
      <c r="K5" s="5">
        <v>0.024999999999999994</v>
      </c>
    </row>
    <row r="6" spans="1:11" x14ac:dyDescent="0.25">
      <c r="A6" t="s">
        <v>50</v>
      </c>
      <c r="B6" s="18">
        <f>Assumptions!B29*(1+B5)</f>
        <v>58594608000</v>
      </c>
      <c r="C6" s="18">
        <f>B6*(1+C5)</f>
        <v>68115290375.71818</v>
      </c>
      <c r="D6" s="18">
        <f>C6*(1+D5)</f>
        <v>78012335916.66298</v>
      </c>
      <c r="E6" s="18">
        <f>D6*(1+E5)</f>
        <v>88006726403.0972</v>
      </c>
      <c r="F6" s="18">
        <f>E6*(1+F5)</f>
        <v>97769088875.24341</v>
      </c>
      <c r="G6" s="18">
        <f>F6*(1+G5)</f>
        <v>106934155542.07396</v>
      </c>
      <c r="H6" s="18">
        <f>G6*(1+H5)</f>
        <v>115120657544.5706</v>
      </c>
      <c r="I6" s="18">
        <f>H6*(1+I5)</f>
        <v>121955484182.88585</v>
      </c>
      <c r="J6" s="18">
        <f>I6*(1+J5)</f>
        <v>127100236243.48245</v>
      </c>
      <c r="K6" s="18">
        <f>J6*(1+K5)</f>
        <v>130277742149.5695</v>
      </c>
    </row>
    <row r="7" spans="1:11" x14ac:dyDescent="0.25">
      <c r="A7" t="s">
        <v>4</v>
      </c>
      <c r="B7" s="9">
        <f>Assumptions!B7</f>
        <v>0.07889400231027699</v>
      </c>
      <c r="C7" s="9">
        <f>Assumptions!B7</f>
        <v>0.07889400231027699</v>
      </c>
      <c r="D7" s="9">
        <f>Assumptions!B7</f>
        <v>0.07889400231027699</v>
      </c>
      <c r="E7" s="9">
        <f>Assumptions!B7</f>
        <v>0.07889400231027699</v>
      </c>
      <c r="F7" s="9">
        <f>Assumptions!B7</f>
        <v>0.07889400231027699</v>
      </c>
      <c r="G7" s="9">
        <f>Assumptions!B7</f>
        <v>0.07889400231027699</v>
      </c>
      <c r="H7" s="9">
        <f>Assumptions!B7</f>
        <v>0.07889400231027699</v>
      </c>
      <c r="I7" s="9">
        <f>Assumptions!B7</f>
        <v>0.07889400231027699</v>
      </c>
      <c r="J7" s="9">
        <f>Assumptions!B7</f>
        <v>0.07889400231027699</v>
      </c>
      <c r="K7" s="9">
        <f>Assumptions!B7</f>
        <v>0.07889400231027699</v>
      </c>
    </row>
    <row r="8" spans="1:11" x14ac:dyDescent="0.25">
      <c r="A8" t="s">
        <v>51</v>
      </c>
      <c r="B8" s="18">
        <f>B6*B7</f>
        <v>4622763138.921775</v>
      </c>
      <c r="C8" s="18">
        <f>C6*C7</f>
        <v>5373887876.267097</v>
      </c>
      <c r="D8" s="18">
        <f>D6*D7</f>
        <v>6154705410.039313</v>
      </c>
      <c r="E8" s="18">
        <f>E6*E7</f>
        <v>6943202876.165865</v>
      </c>
      <c r="F8" s="18">
        <f>F6*F7</f>
        <v>7713394723.59713</v>
      </c>
      <c r="G8" s="18">
        <f>G6*G7</f>
        <v>8436463514.383902</v>
      </c>
      <c r="H8" s="18">
        <f>H6*H7</f>
        <v>9082329422.28196</v>
      </c>
      <c r="I8" s="18">
        <f>I6*I7</f>
        <v>9621556250.875546</v>
      </c>
      <c r="J8" s="18">
        <f>J6*J7</f>
        <v>10027446331.830055</v>
      </c>
      <c r="K8" s="18">
        <f>K6*K7</f>
        <v>10278132490.125807</v>
      </c>
    </row>
    <row r="9" spans="1:11" x14ac:dyDescent="0.25">
      <c r="A9" t="s">
        <v>52</v>
      </c>
      <c r="B9" s="18">
        <f>B8*(1-Assumptions!B8)</f>
        <v>3984502672.019481</v>
      </c>
      <c r="C9" s="18">
        <f>C8*(1-Assumptions!B8)</f>
        <v>4631920338.2576065</v>
      </c>
      <c r="D9" s="18">
        <f>D8*(1-Assumptions!B8)</f>
        <v>5304931145.036842</v>
      </c>
      <c r="E9" s="18">
        <f>E8*(1-Assumptions!B8)</f>
        <v>5984561523.2860365</v>
      </c>
      <c r="F9" s="18">
        <f>F8*(1-Assumptions!B8)</f>
        <v>6648413722.0325365</v>
      </c>
      <c r="G9" s="18">
        <f>G8*(1-Assumptions!B8)</f>
        <v>7271649099.308599</v>
      </c>
      <c r="H9" s="18">
        <f>H8*(1-Assumptions!B8)</f>
        <v>7828340921.590962</v>
      </c>
      <c r="I9" s="18">
        <f>I8*(1-Assumptions!B8)</f>
        <v>8293117219.832552</v>
      </c>
      <c r="J9" s="18">
        <f>J8*(1-Assumptions!B8)</f>
        <v>8642966447.125359</v>
      </c>
      <c r="K9" s="18">
        <f>K8*(1-Assumptions!B8)</f>
        <v>8859040608.303492</v>
      </c>
    </row>
    <row r="10" spans="1:11" x14ac:dyDescent="0.25">
      <c r="A10" t="s">
        <v>53</v>
      </c>
      <c r="B10" s="18">
        <f>B6*Assumptions!B9</f>
        <v>182337776.759194</v>
      </c>
      <c r="C10" s="18">
        <f>C6*Assumptions!B9</f>
        <v>211964735.90906823</v>
      </c>
      <c r="D10" s="18">
        <f>D6*Assumptions!B9</f>
        <v>242762881.71150059</v>
      </c>
      <c r="E10" s="18">
        <f>E6*Assumptions!B9</f>
        <v>273863950.62486637</v>
      </c>
      <c r="F10" s="18">
        <f>F6*Assumptions!B9</f>
        <v>304242982.58440316</v>
      </c>
      <c r="G10" s="18">
        <f>G6*Assumptions!B9</f>
        <v>332763318.1053726</v>
      </c>
      <c r="H10" s="18">
        <f>H6*Assumptions!B9</f>
        <v>358238504.7397798</v>
      </c>
      <c r="I10" s="18">
        <f>I6*Assumptions!B9</f>
        <v>379507477.02755266</v>
      </c>
      <c r="J10" s="18">
        <f>J6*Assumptions!B9</f>
        <v>395517186.53369814</v>
      </c>
      <c r="K10" s="18">
        <f>K6*Assumptions!B9</f>
        <v>405405116.19704056</v>
      </c>
    </row>
    <row r="11" spans="1:11" x14ac:dyDescent="0.25">
      <c r="A11" t="s">
        <v>54</v>
      </c>
      <c r="B11" s="18">
        <f>-B6*B19</f>
        <v>-585946080</v>
      </c>
      <c r="C11" s="18">
        <f>-C6*C19</f>
        <v>-718466359.6057768</v>
      </c>
      <c r="D11" s="18">
        <f>-D6*D19</f>
        <v>-865593444.835085</v>
      </c>
      <c r="E11" s="18">
        <f>-E6*E19</f>
        <v>-1024697129.7442938</v>
      </c>
      <c r="F11" s="18">
        <f>-F6*F19</f>
        <v>-1191921940.8983548</v>
      </c>
      <c r="G11" s="18">
        <f>-G6*G19</f>
        <v>-1362233420.7799716</v>
      </c>
      <c r="H11" s="18">
        <f>-H6*H19</f>
        <v>-1529584136.3889248</v>
      </c>
      <c r="I11" s="18">
        <f>-I6*I19</f>
        <v>-1687204085.4298272</v>
      </c>
      <c r="J11" s="18">
        <f>-J6*J19</f>
        <v>-1828004941.7097776</v>
      </c>
      <c r="K11" s="18">
        <f>-K6*K19</f>
        <v>-1945071020.7221253</v>
      </c>
    </row>
    <row r="12" spans="1:11" x14ac:dyDescent="0.25">
      <c r="A12" t="s">
        <v>55</v>
      </c>
      <c r="B12" s="18">
        <f>-(B6-Assumptions!B29)*Assumptions!B11</f>
        <v>-6138146428.130806</v>
      </c>
      <c r="C12" s="18">
        <f>-(C6-B6)*Assumptions!B11</f>
        <v>-2992050523.7213526</v>
      </c>
      <c r="D12" s="18">
        <f>-(D6-C6)*Assumptions!B11</f>
        <v>-3110329609.3148155</v>
      </c>
      <c r="E12" s="18">
        <f>-(E6-D6)*Assumptions!B11</f>
        <v>-3140922058.851424</v>
      </c>
      <c r="F12" s="18">
        <f>-(F6-E6)*Assumptions!B11</f>
        <v>-3068002963.9513493</v>
      </c>
      <c r="G12" s="18">
        <f>-(G6-F6)*Assumptions!B11</f>
        <v>-2880291710.011269</v>
      </c>
      <c r="H12" s="18">
        <f>-(H6-G6)*Assumptions!B11</f>
        <v>-2572759665.471802</v>
      </c>
      <c r="I12" s="18">
        <f>-(I6-H6)*Assumptions!B11</f>
        <v>-2147970682.739341</v>
      </c>
      <c r="J12" s="18">
        <f>-(J6-I6)*Assumptions!B11</f>
        <v>-1616833488.3835888</v>
      </c>
      <c r="K12" s="18">
        <f>-(K6-J6)*Assumptions!B11</f>
        <v>-998589999.670931</v>
      </c>
    </row>
    <row r="13" spans="1:11" x14ac:dyDescent="0.25">
      <c r="A13" s="19" t="s">
        <v>56</v>
      </c>
      <c r="B13" s="20">
        <f>B9+B10+B11+B12</f>
        <v>-2557252059.352131</v>
      </c>
      <c r="C13" s="20">
        <f>C9+C10+C11+C12</f>
        <v>1133368190.8395452</v>
      </c>
      <c r="D13" s="20">
        <f>D9+D10+D11+D12</f>
        <v>1571770972.598442</v>
      </c>
      <c r="E13" s="20">
        <f>E9+E10+E11+E12</f>
        <v>2092806285.3151846</v>
      </c>
      <c r="F13" s="20">
        <f>F9+F10+F11+F12</f>
        <v>2692731799.7672358</v>
      </c>
      <c r="G13" s="20">
        <f>G9+G10+G11+G12</f>
        <v>3361887286.6227317</v>
      </c>
      <c r="H13" s="20">
        <f>H9+H10+H11+H12</f>
        <v>4084235624.470015</v>
      </c>
      <c r="I13" s="20">
        <f>I9+I10+I11+I12</f>
        <v>4837449928.690938</v>
      </c>
      <c r="J13" s="20">
        <f>J9+J10+J11+J12</f>
        <v>5593645203.565691</v>
      </c>
      <c r="K13" s="20">
        <f>K9+K10+K11+K12</f>
        <v>6320784704.107476</v>
      </c>
    </row>
    <row r="14" spans="1:11" x14ac:dyDescent="0.25">
      <c r="A14" t="s">
        <v>57</v>
      </c>
      <c r="B14" s="21">
        <f>1/(1+Assumptions!$B$26)^(1-0.5*Assumptions!$B$32)</f>
        <v>0.9541322226719363</v>
      </c>
      <c r="C14" s="21">
        <f>1/(1+Assumptions!$B$26)^(2-0.5*Assumptions!$B$32)</f>
        <v>0.8686117279460612</v>
      </c>
      <c r="D14" s="21">
        <f>1/(1+Assumptions!$B$26)^(3-0.5*Assumptions!$B$32)</f>
        <v>0.7907565806891953</v>
      </c>
      <c r="E14" s="21">
        <f>1/(1+Assumptions!$B$26)^(4-0.5*Assumptions!$B$32)</f>
        <v>0.7198797227638829</v>
      </c>
      <c r="F14" s="21">
        <f>1/(1+Assumptions!$B$26)^(5-0.5*Assumptions!$B$32)</f>
        <v>0.6553556782226673</v>
      </c>
      <c r="G14" s="21">
        <f>1/(1+Assumptions!$B$26)^(6-0.5*Assumptions!$B$32)</f>
        <v>0.5966150335916092</v>
      </c>
      <c r="H14" s="21">
        <f>1/(1+Assumptions!$B$26)^(7-0.5*Assumptions!$B$32)</f>
        <v>0.5431394128953857</v>
      </c>
      <c r="I14" s="21">
        <f>1/(1+Assumptions!$B$26)^(8-0.5*Assumptions!$B$32)</f>
        <v>0.494456903079442</v>
      </c>
      <c r="J14" s="21">
        <f>1/(1+Assumptions!$B$26)^(9-0.5*Assumptions!$B$32)</f>
        <v>0.4501378894593377</v>
      </c>
      <c r="K14" s="21">
        <f>1/(1+Assumptions!$B$26)^(10-0.5*Assumptions!$B$32)</f>
        <v>0.4097912644458566</v>
      </c>
    </row>
    <row r="15" spans="1:11" x14ac:dyDescent="0.25">
      <c r="A15" s="19" t="s">
        <v>58</v>
      </c>
      <c r="B15" s="20">
        <f>B13*B14</f>
        <v>-2439956591.322035</v>
      </c>
      <c r="C15" s="20">
        <f>C13*C14</f>
        <v>984456902.6442387</v>
      </c>
      <c r="D15" s="20">
        <f>D13*D14</f>
        <v>1242888239.918475</v>
      </c>
      <c r="E15" s="20">
        <f>E13*E14</f>
        <v>1506568808.4712067</v>
      </c>
      <c r="F15" s="20">
        <f>F13*F14</f>
        <v>1764697074.9082003</v>
      </c>
      <c r="G15" s="20">
        <f>G13*G14</f>
        <v>2005752496.4396248</v>
      </c>
      <c r="H15" s="20">
        <f>H13*H14</f>
        <v>2218309339.201063</v>
      </c>
      <c r="I15" s="20">
        <f>I13*I14</f>
        <v>2391910510.542389</v>
      </c>
      <c r="J15" s="20">
        <f>J13*J14</f>
        <v>2517911646.3174076</v>
      </c>
      <c r="K15" s="20">
        <f>K13*K14</f>
        <v>2590202356.1862326</v>
      </c>
    </row>
    <row r="17" spans="1:2" x14ac:dyDescent="0.25">
      <c r="A17" s="22" t="s">
        <v>59</v>
      </c>
      <c r="B17" s="23">
        <f>SUM(B15:K15)</f>
        <v>14782740783.3068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0.010547798528682432</v>
      </c>
      <c r="D19" s="9">
        <f>Assumptions!$B$10+($B$20-Assumptions!$B$10)*2/9</f>
        <v>0.011095597057364863</v>
      </c>
      <c r="E19" s="9">
        <f>Assumptions!$B$10+($B$20-Assumptions!$B$10)*3/9</f>
        <v>0.011643395586047295</v>
      </c>
      <c r="F19" s="9">
        <f>Assumptions!$B$10+($B$20-Assumptions!$B$10)*4/9</f>
        <v>0.012191194114729725</v>
      </c>
      <c r="G19" s="9">
        <f>Assumptions!$B$10+($B$20-Assumptions!$B$10)*5/9</f>
        <v>0.012738992643412158</v>
      </c>
      <c r="H19" s="9">
        <f>Assumptions!$B$10+($B$20-Assumptions!$B$10)*6/9</f>
        <v>0.013286791172094588</v>
      </c>
      <c r="I19" s="9">
        <f>Assumptions!$B$10+($B$20-Assumptions!$B$10)*7/9</f>
        <v>0.01383458970077702</v>
      </c>
      <c r="J19" s="9">
        <f>Assumptions!$B$10+($B$20-Assumptions!$B$10)*8/9</f>
        <v>0.01438238822945945</v>
      </c>
      <c r="K19" s="9">
        <f>Assumptions!$B$10+($B$20-Assumptions!$B$10)*9/9</f>
        <v>0.014930186758141882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0.014930186758141882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6320784704.107476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9005845219.487118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0.1898751841452468</v>
      </c>
    </row>
    <row r="7" spans="1:2" x14ac:dyDescent="0.25">
      <c r="A7" t="s">
        <v>66</v>
      </c>
      <c r="B7" s="18">
        <f>-MAX(B5,0)*B6</f>
        <v>-1709986519.433707</v>
      </c>
    </row>
    <row r="8" spans="1:2" x14ac:dyDescent="0.25">
      <c r="A8" t="s">
        <v>67</v>
      </c>
      <c r="B8" s="18">
        <f>IF(OR(Assumptions!$B$33=0,Assumptions!B12&lt;=0),B5,MAX(B5+B7,0))</f>
        <v>7295858700.053411</v>
      </c>
    </row>
    <row r="9" spans="1:2" x14ac:dyDescent="0.25">
      <c r="A9" t="s">
        <v>68</v>
      </c>
      <c r="B9" s="18">
        <f>B8*(1+Assumptions!B12)/(Assumptions!B26-Assumptions!B12)</f>
        <v>101805181828.94211</v>
      </c>
    </row>
    <row r="10" spans="1:2" x14ac:dyDescent="0.25">
      <c r="A10" t="s">
        <v>69</v>
      </c>
      <c r="B10" s="18">
        <f>B9/(1+Assumptions!B26)^(10-0.5*Assumptions!B32)</f>
        <v>41718874188.82253</v>
      </c>
    </row>
    <row r="11" spans="1:2" x14ac:dyDescent="0.25">
      <c r="A11" t="s">
        <v>70</v>
      </c>
      <c r="B11" s="18">
        <f>Forecast!B17+B10</f>
        <v>56501614972.12933</v>
      </c>
    </row>
    <row r="12" spans="1:2" x14ac:dyDescent="0.25">
      <c r="A12" t="s">
        <v>71</v>
      </c>
      <c r="B12" s="18">
        <f>-Assumptions!B30</f>
        <v>-1239439000</v>
      </c>
    </row>
    <row r="13" spans="1:2" x14ac:dyDescent="0.25">
      <c r="A13" t="s">
        <v>72</v>
      </c>
      <c r="B13" s="18">
        <f>B11+B12</f>
        <v>55262175972.12933</v>
      </c>
    </row>
    <row r="14" spans="1:2" x14ac:dyDescent="0.25">
      <c r="A14" s="19" t="s">
        <v>73</v>
      </c>
      <c r="B14" s="24">
        <f>B13/Assumptions!B31</f>
        <v>79.24619554674184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10683537606.322847</v>
      </c>
    </row>
    <row r="18" spans="1:2" x14ac:dyDescent="0.25">
      <c r="A18" t="s">
        <v>68</v>
      </c>
      <c r="B18" s="18">
        <f>B17*Assumptions!B13</f>
        <v>85469887244.5521</v>
      </c>
    </row>
    <row r="19" spans="1:2" x14ac:dyDescent="0.25">
      <c r="A19" t="s">
        <v>69</v>
      </c>
      <c r="B19" s="18">
        <f>B18/(1+Assumptions!B26)^(10-0.5*Assumptions!B32)</f>
        <v>35024813165.98979</v>
      </c>
    </row>
    <row r="20" spans="1:2" x14ac:dyDescent="0.25">
      <c r="A20" t="s">
        <v>70</v>
      </c>
      <c r="B20" s="18">
        <f>Forecast!B17+B19</f>
        <v>49807553949.29659</v>
      </c>
    </row>
    <row r="21" spans="1:2" x14ac:dyDescent="0.25">
      <c r="A21" t="s">
        <v>71</v>
      </c>
      <c r="B21" s="18">
        <f>-Assumptions!B30</f>
        <v>-1239439000</v>
      </c>
    </row>
    <row r="22" spans="1:2" x14ac:dyDescent="0.25">
      <c r="A22" t="s">
        <v>72</v>
      </c>
      <c r="B22" s="18">
        <f>B20+B21</f>
        <v>48568114949.29659</v>
      </c>
    </row>
    <row r="23" spans="1:2" x14ac:dyDescent="0.25">
      <c r="A23" s="19" t="s">
        <v>73</v>
      </c>
      <c r="B23" s="25">
        <f>B22/Assumptions!B31</f>
        <v>69.64688354924169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32.95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79.24619554674184</v>
      </c>
    </row>
    <row r="29" spans="1:2" x14ac:dyDescent="0.25">
      <c r="A29" s="19" t="s">
        <v>81</v>
      </c>
      <c r="B29" s="11">
        <f>B28/B26-1</f>
        <v>1.40504387091781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0.078457</v>
      </c>
      <c r="B5" s="31">
        <v>114.26151601647094</v>
      </c>
      <c r="C5" s="31">
        <v>116.93173550505658</v>
      </c>
      <c r="D5" s="31">
        <v>120.29443770324612</v>
      </c>
      <c r="E5" s="31">
        <v>124.56398257232608</v>
      </c>
      <c r="F5" s="31">
        <v>130.05338389749454</v>
      </c>
    </row>
    <row r="6" spans="1:6" x14ac:dyDescent="0.25">
      <c r="A6" s="30">
        <v>0.088457</v>
      </c>
      <c r="B6" s="31">
        <v>93.92143529093502</v>
      </c>
      <c r="C6" s="31">
        <v>94.99710130097256</v>
      </c>
      <c r="D6" s="31">
        <v>96.39585118956909</v>
      </c>
      <c r="E6" s="31">
        <v>98.20058791408441</v>
      </c>
      <c r="F6" s="31">
        <v>100.52523112094056</v>
      </c>
    </row>
    <row r="7" spans="1:6" x14ac:dyDescent="0.25">
      <c r="A7" s="30">
        <v>0.098457</v>
      </c>
      <c r="B7" s="31">
        <v>78.69663592687898</v>
      </c>
      <c r="C7" s="31">
        <v>78.89485932232543</v>
      </c>
      <c r="D7" s="32">
        <v>79.24550131105299</v>
      </c>
      <c r="E7" s="31">
        <v>79.7819591920847</v>
      </c>
      <c r="F7" s="31">
        <v>80.54815622659837</v>
      </c>
    </row>
    <row r="8" spans="1:6" x14ac:dyDescent="0.25">
      <c r="A8" s="30">
        <v>0.108457</v>
      </c>
      <c r="B8" s="31">
        <v>66.92787113930578</v>
      </c>
      <c r="C8" s="31">
        <v>66.62979397537102</v>
      </c>
      <c r="D8" s="31">
        <v>66.40047145988748</v>
      </c>
      <c r="E8" s="31">
        <v>66.25304862423252</v>
      </c>
      <c r="F8" s="31">
        <v>66.20424947289071</v>
      </c>
    </row>
    <row r="9" spans="1:6" x14ac:dyDescent="0.25">
      <c r="A9" s="30">
        <v>0.118457</v>
      </c>
      <c r="B9" s="31">
        <v>57.59885532691259</v>
      </c>
      <c r="C9" s="31">
        <v>57.0187169702977</v>
      </c>
      <c r="D9" s="31">
        <v>56.464853594731245</v>
      </c>
      <c r="E9" s="31">
        <v>55.94172075167585</v>
      </c>
      <c r="F9" s="31">
        <v>55.45484174040736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39063072000</v>
      </c>
      <c r="C5" s="18">
        <v>21972042000</v>
      </c>
      <c r="D5" s="18">
        <v>14989251000</v>
      </c>
      <c r="E5" s="18">
        <v>7123482000</v>
      </c>
      <c r="F5" s="6" t="s">
        <v>91</v>
      </c>
    </row>
    <row r="6" spans="1:6" x14ac:dyDescent="0.25">
      <c r="A6" t="s">
        <v>51</v>
      </c>
      <c r="B6" s="18">
        <v>2770486000</v>
      </c>
      <c r="C6" s="18">
        <v>1252994000</v>
      </c>
      <c r="D6" s="18">
        <v>1210774000</v>
      </c>
      <c r="E6" s="18">
        <v>761142000</v>
      </c>
      <c r="F6" s="6" t="s">
        <v>92</v>
      </c>
    </row>
    <row r="7" spans="1:6" x14ac:dyDescent="0.25">
      <c r="A7" t="s">
        <v>93</v>
      </c>
      <c r="B7" s="18">
        <v>90267000</v>
      </c>
      <c r="C7" s="18">
        <v>58344000</v>
      </c>
      <c r="D7" s="18">
        <v>38693000</v>
      </c>
      <c r="E7" s="18">
        <v>34904000</v>
      </c>
      <c r="F7" s="6" t="s">
        <v>94</v>
      </c>
    </row>
    <row r="8" spans="1:6" x14ac:dyDescent="0.25">
      <c r="A8" t="s">
        <v>95</v>
      </c>
      <c r="B8" s="18">
        <v>161999000</v>
      </c>
      <c r="C8" s="18">
        <v>127214000</v>
      </c>
      <c r="D8" s="18">
        <v>124279000</v>
      </c>
      <c r="E8" s="18">
        <v>36793000</v>
      </c>
      <c r="F8" s="6" t="s">
        <v>96</v>
      </c>
    </row>
    <row r="9" spans="1:6" x14ac:dyDescent="0.25">
      <c r="A9" t="s">
        <v>97</v>
      </c>
      <c r="B9" s="18">
        <v>9648269000</v>
      </c>
      <c r="C9" s="18">
        <v>-157944000</v>
      </c>
      <c r="D9" s="18">
        <v>3835626000</v>
      </c>
      <c r="E9" s="18">
        <v>-26868000</v>
      </c>
      <c r="F9" s="6" t="s">
        <v>98</v>
      </c>
    </row>
    <row r="10" spans="1:6" x14ac:dyDescent="0.25">
      <c r="A10" t="s">
        <v>99</v>
      </c>
      <c r="B10" s="18">
        <v>8760913000</v>
      </c>
      <c r="C10" s="18">
        <v>4778842000</v>
      </c>
      <c r="D10" s="18">
        <v>2183393000</v>
      </c>
      <c r="E10" s="18">
        <v>290302000</v>
      </c>
      <c r="F10" s="6" t="s">
        <v>100</v>
      </c>
    </row>
    <row r="11" spans="1:6" x14ac:dyDescent="0.25">
      <c r="A11" t="s">
        <v>101</v>
      </c>
      <c r="B11" s="18">
        <v>7521474000</v>
      </c>
      <c r="C11" s="18">
        <v>5169911000</v>
      </c>
      <c r="D11" s="18">
        <v>1669766000</v>
      </c>
      <c r="E11" s="18">
        <v>440459000</v>
      </c>
      <c r="F11" s="6" t="s">
        <v>102</v>
      </c>
    </row>
    <row r="12" spans="1:6" x14ac:dyDescent="0.25">
      <c r="A12" t="s">
        <v>34</v>
      </c>
      <c r="B12" s="34">
        <v>697348000</v>
      </c>
      <c r="C12" s="34">
        <v>628402000</v>
      </c>
      <c r="D12" s="34">
        <v>602150000</v>
      </c>
      <c r="E12" s="34">
        <v>559700000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