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<sst xmlns="http://schemas.openxmlformats.org/spreadsheetml/2006/main" count="112" uniqueCount="100">
  <si>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Smiths Group plc (SMIN.L)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</si>
  <si>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</si>
  <si>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</si>
  <si>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</si>
  <si>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</si>
  <si>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</si>
  <si>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</si>
  <si>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</si>
  <si>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</si>
  <si>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</si>
  <si>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</si>
  <si>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</si>
  <si>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</si>
  <si>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</si>
  <si>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</si>
  <si>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</si>
  <si>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</si>
  <si>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</si>
  <si>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</si>
  <si>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</si>
  <si>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</si>
  <si>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</si>
  <si>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</si>
  <si>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</si>
  <si>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</si>
  <si>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</si>
  <si>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</si>
  <si>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</si>
  <si>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</si>
  <si>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</si>
  <si>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2024-07-31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</si>
  <si>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</si>
  <si>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</si>
  <si>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</si>
  <si>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</si>
  <si>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</si>
  <si>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</si>
  <si>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</si>
  <si>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</si>
  <si>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</si>
  <si>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</si>
  <si>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</si>
  <si>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</si>
  <si>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</si>
  <si>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</si>
  <si>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</si>
  <si>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</si>
  <si>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</si>
  <si>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</si>
  <si>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</si>
  <si>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</si>
  <si>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</si>
  <si>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</si>
  <si>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</si>
  <si>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</si>
  <si>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</si>
  <si>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</si>
  <si>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</si>
  <si>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</si>
  <si>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</si>
  <si>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</si>
  <si>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</si>
  <si>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</si>
  <si>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</si>
  <si>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</si>
  <si>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</si>
  <si>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</si>
  <si>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</si>
  <si>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</si>
  <si>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</si>
  <si>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</si>
  <si>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</si>
  <si>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</si>
  <si>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</si>
  <si>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</si>
  <si>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</si>
  <si>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</si>
  <si>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</si>
  <si>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</si>
  <si>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2024-07-31</t>
  </si>
  <si>
    <t>2023-07-31</t>
  </si>
  <si>
    <t>2022-07-31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</si>
  <si>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</si>
  <si>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</si>
  <si>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</si>
  <si>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</si>
  <si>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</si>
  <si>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</si>
  <si>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</si>
  <si>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</si>
  <si>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</si>
  <si>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</si>
  <si>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</si>
  <si>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</si>
  <si>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</si>
  <si>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</si>
  <si>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</si>
  <si>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Only 3 year(s) of history available to anchor assumptions on.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</si>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</sst>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0.04048972221838354</v>
      </c>
    </row>
    <row r="7" spans="1:2" x14ac:dyDescent="0.25">
      <c r="A7" t="s">
        <v>5</v>
      </c>
      <c r="B7" s="6">
        <v>0.1321516609749778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0.04777355734908275</v>
      </c>
    </row>
    <row r="10" spans="1:2" x14ac:dyDescent="0.25">
      <c r="A10" t="s">
        <v>8</v>
      </c>
      <c r="B10" s="6">
        <v>0.030641067447324154</v>
      </c>
    </row>
    <row r="11" spans="1:2" x14ac:dyDescent="0.25">
      <c r="A11" t="s">
        <v>9</v>
      </c>
      <c r="B11" s="6">
        <v>0.07400667273278738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11.18574366163142</v>
      </c>
    </row>
    <row r="14" spans="1:3" x14ac:dyDescent="0.25">
      <c r="A14" t="s">
        <v>12</v>
      </c>
      <c r="B14" s="6">
        <v>0.11502909962341663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0.82446</v>
      </c>
      <c r="C19" s="8" t="s">
        <v>19</v>
      </c>
    </row>
    <row r="20" spans="1:2" x14ac:dyDescent="0.25">
      <c r="A20" t="s">
        <v>20</v>
      </c>
      <c r="B20" s="10">
        <f>B17+B19*B18</f>
        <v>0.09034529999999999</v>
      </c>
    </row>
    <row r="21" spans="1:3" x14ac:dyDescent="0.25">
      <c r="A21" t="s">
        <v>21</v>
      </c>
      <c r="B21" s="6">
        <v>0.10967250571210967</v>
      </c>
      <c r="C21" s="8" t="s">
        <v>22</v>
      </c>
    </row>
    <row r="22" spans="1:2" x14ac:dyDescent="0.25">
      <c r="A22" t="s">
        <v>23</v>
      </c>
      <c r="B22" s="11">
        <v>7204962304</v>
      </c>
    </row>
    <row r="23" spans="1:2" x14ac:dyDescent="0.25">
      <c r="A23" t="s">
        <v>24</v>
      </c>
      <c r="B23" s="11">
        <v>659000000</v>
      </c>
    </row>
    <row r="24" spans="1:2" x14ac:dyDescent="0.25">
      <c r="A24" t="s">
        <v>25</v>
      </c>
      <c r="B24" s="10">
        <f>B22/(B22+B23)</f>
        <v>0.9162000052232193</v>
      </c>
    </row>
    <row r="25" spans="1:2" x14ac:dyDescent="0.25">
      <c r="A25" t="s">
        <v>26</v>
      </c>
      <c r="B25" s="10">
        <f>1-B24</f>
        <v>0.08379999477678068</v>
      </c>
    </row>
    <row r="26" spans="1:2" x14ac:dyDescent="0.25">
      <c r="A26" t="s">
        <v>27</v>
      </c>
      <c r="B26" s="12">
        <f>B24*B20+B25*B21*(1-B8)</f>
        <v>0.08966728088626674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2778000000</v>
      </c>
      <c r="C29" s="8" t="s">
        <v>30</v>
      </c>
    </row>
    <row r="30" spans="1:2" x14ac:dyDescent="0.25">
      <c r="A30" t="s">
        <v>31</v>
      </c>
      <c r="B30" s="11">
        <v>200000000</v>
      </c>
    </row>
    <row r="31" spans="1:2" x14ac:dyDescent="0.25">
      <c r="A31" t="s">
        <v>32</v>
      </c>
      <c r="B31" s="13">
        <v>347291180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0.04048972221838354</v>
      </c>
      <c r="C5" s="10">
        <f>Assumptions!B6</f>
        <v>0.04048972221838354</v>
      </c>
      <c r="D5" s="10">
        <f>Assumptions!B6</f>
        <v>0.04048972221838354</v>
      </c>
      <c r="E5" s="10">
        <f>Assumptions!B6</f>
        <v>0.04048972221838354</v>
      </c>
      <c r="F5" s="10">
        <f>Assumptions!B6</f>
        <v>0.04048972221838354</v>
      </c>
    </row>
    <row r="6" spans="1:6" x14ac:dyDescent="0.25">
      <c r="A6" t="s">
        <v>43</v>
      </c>
      <c r="B6" s="18">
        <f>Assumptions!B29*(1+B5)</f>
        <v>2890480448.3226695</v>
      </c>
      <c r="C6" s="18">
        <f>B6*(1+C5)</f>
        <v>3007515198.752923</v>
      </c>
      <c r="D6" s="18">
        <f>C6*(1+D5)</f>
        <v>3129288653.7179956</v>
      </c>
      <c r="E6" s="18">
        <f>D6*(1+E5)</f>
        <v>3255992682.048177</v>
      </c>
      <c r="F6" s="18">
        <f>E6*(1+F5)</f>
        <v>3387826921.2893972</v>
      </c>
    </row>
    <row r="7" spans="1:6" x14ac:dyDescent="0.25">
      <c r="A7" t="s">
        <v>5</v>
      </c>
      <c r="B7" s="10">
        <f>Assumptions!B7</f>
        <v>0.1321516609749778</v>
      </c>
      <c r="C7" s="10">
        <f>Assumptions!B7</f>
        <v>0.1321516609749778</v>
      </c>
      <c r="D7" s="10">
        <f>Assumptions!B7</f>
        <v>0.1321516609749778</v>
      </c>
      <c r="E7" s="10">
        <f>Assumptions!B7</f>
        <v>0.1321516609749778</v>
      </c>
      <c r="F7" s="10">
        <f>Assumptions!B7</f>
        <v>0.1321516609749778</v>
      </c>
    </row>
    <row r="8" spans="1:6" x14ac:dyDescent="0.25">
      <c r="A8" t="s">
        <v>44</v>
      </c>
      <c r="B8" s="18">
        <f>B6*B7</f>
        <v>381981792.2615393</v>
      </c>
      <c r="C8" s="18">
        <f>C6*C7</f>
        <v>397448128.92268926</v>
      </c>
      <c r="D8" s="18">
        <f>D6*D7</f>
        <v>413540693.2589853</v>
      </c>
      <c r="E8" s="18">
        <f>E6*E7</f>
        <v>430284841.05503935</v>
      </c>
      <c r="F8" s="18">
        <f>F6*F7</f>
        <v>447706954.7441392</v>
      </c>
    </row>
    <row r="9" spans="1:6" x14ac:dyDescent="0.25">
      <c r="A9" t="s">
        <v>45</v>
      </c>
      <c r="B9" s="18">
        <f>B8*(1-Assumptions!B8)</f>
        <v>286486344.1961545</v>
      </c>
      <c r="C9" s="18">
        <f>C8*(1-Assumptions!B8)</f>
        <v>298086096.69201696</v>
      </c>
      <c r="D9" s="18">
        <f>D8*(1-Assumptions!B8)</f>
        <v>310155519.94423896</v>
      </c>
      <c r="E9" s="18">
        <f>E8*(1-Assumptions!B8)</f>
        <v>322713630.7912795</v>
      </c>
      <c r="F9" s="18">
        <f>F8*(1-Assumptions!B8)</f>
        <v>335780216.0581044</v>
      </c>
    </row>
    <row r="10" spans="1:6" x14ac:dyDescent="0.25">
      <c r="A10" t="s">
        <v>46</v>
      </c>
      <c r="B10" s="18">
        <f>B6*Assumptions!B9</f>
        <v>138088533.46434546</v>
      </c>
      <c r="C10" s="18">
        <f>C6*Assumptions!B9</f>
        <v>143679699.82586077</v>
      </c>
      <c r="D10" s="18">
        <f>D6*Assumptions!B9</f>
        <v>149497250.96023062</v>
      </c>
      <c r="E10" s="18">
        <f>E6*Assumptions!B9</f>
        <v>155550353.12402233</v>
      </c>
      <c r="F10" s="18">
        <f>F6*Assumptions!B9</f>
        <v>161848543.71298546</v>
      </c>
    </row>
    <row r="11" spans="1:6" x14ac:dyDescent="0.25">
      <c r="A11" t="s">
        <v>47</v>
      </c>
      <c r="B11" s="18">
        <f>-B6*Assumptions!B10</f>
        <v>-88567406.37222667</v>
      </c>
      <c r="C11" s="18">
        <f>-C6*Assumptions!B10</f>
        <v>-92153476.05384083</v>
      </c>
      <c r="D11" s="18">
        <f>-D6*Assumptions!B10</f>
        <v>-95884744.70071931</v>
      </c>
      <c r="E11" s="18">
        <f>-E6*Assumptions!B10</f>
        <v>-99767091.37863205</v>
      </c>
      <c r="F11" s="18">
        <f>-F6*Assumptions!B10</f>
        <v>-103806633.19508895</v>
      </c>
    </row>
    <row r="12" spans="1:6" x14ac:dyDescent="0.25">
      <c r="A12" t="s">
        <v>48</v>
      </c>
      <c r="B12" s="18">
        <f>-(B6-Assumptions!B29)*Assumptions!B11</f>
        <v>-8324303.727853006</v>
      </c>
      <c r="C12" s="18">
        <f>-(C6-B6)*Assumptions!B11</f>
        <v>-8661352.473455219</v>
      </c>
      <c r="D12" s="18">
        <f>-(D6-C6)*Assumptions!B11</f>
        <v>-9012048.229140952</v>
      </c>
      <c r="E12" s="18">
        <f>-(E6-D6)*Assumptions!B11</f>
        <v>-9376943.558557535</v>
      </c>
      <c r="F12" s="18">
        <f>-(F6-E6)*Assumptions!B11</f>
        <v>-9756613.398501</v>
      </c>
    </row>
    <row r="13" spans="1:6" x14ac:dyDescent="0.25">
      <c r="A13" s="19" t="s">
        <v>49</v>
      </c>
      <c r="B13" s="20">
        <f>B9+B10+B11+B12</f>
        <v>327683167.5604203</v>
      </c>
      <c r="C13" s="20">
        <f>C9+C10+C11+C12</f>
        <v>340950967.9905817</v>
      </c>
      <c r="D13" s="20">
        <f>D9+D10+D11+D12</f>
        <v>354755977.9746094</v>
      </c>
      <c r="E13" s="20">
        <f>E9+E10+E11+E12</f>
        <v>369119948.9781122</v>
      </c>
      <c r="F13" s="20">
        <f>F9+F10+F11+F12</f>
        <v>384065513.17749995</v>
      </c>
    </row>
    <row r="14" spans="1:6" x14ac:dyDescent="0.25">
      <c r="A14" t="s">
        <v>50</v>
      </c>
      <c r="B14" s="21">
        <f>1/(1+Assumptions!$B$26)^(1-0.5*Assumptions!$B$32)</f>
        <v>0.9579725054459135</v>
      </c>
      <c r="C14" s="21">
        <f>1/(1+Assumptions!$B$26)^(2-0.5*Assumptions!$B$32)</f>
        <v>0.8791422136367708</v>
      </c>
      <c r="D14" s="21">
        <f>1/(1+Assumptions!$B$26)^(3-0.5*Assumptions!$B$32)</f>
        <v>0.8067987623907842</v>
      </c>
      <c r="E14" s="21">
        <f>1/(1+Assumptions!$B$26)^(4-0.5*Assumptions!$B$32)</f>
        <v>0.7404083581683621</v>
      </c>
      <c r="F14" s="21">
        <f>1/(1+Assumptions!$B$26)^(5-0.5*Assumptions!$B$32)</f>
        <v>0.6794811325950437</v>
      </c>
    </row>
    <row r="15" spans="1:6" x14ac:dyDescent="0.25">
      <c r="A15" s="19" t="s">
        <v>51</v>
      </c>
      <c r="B15" s="20">
        <f>B13*B14</f>
        <v>313911465.0203089</v>
      </c>
      <c r="C15" s="20">
        <f>C13*C14</f>
        <v>299744388.7408398</v>
      </c>
      <c r="D15" s="20">
        <f>D13*D14</f>
        <v>286216683.98064715</v>
      </c>
      <c r="E15" s="20">
        <f>E13*E14</f>
        <v>273299495.39007366</v>
      </c>
      <c r="F15" s="20">
        <f>F13*F14</f>
        <v>260965269.88454434</v>
      </c>
    </row>
    <row r="17" spans="1:2" x14ac:dyDescent="0.25">
      <c r="A17" s="22" t="s">
        <v>52</v>
      </c>
      <c r="B17" s="23">
        <f>SUM(B15:F15)</f>
        <v>1434137303.0164137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384065513.17749995</v>
      </c>
    </row>
    <row r="5" spans="1:2" x14ac:dyDescent="0.25">
      <c r="A5" t="s">
        <v>56</v>
      </c>
      <c r="B5" s="18">
        <f>IF(Assumptions!$B$33=0,B4,B4-Forecast!F11-Forecast!F10-Forecast!F12)</f>
        <v>389999342.43406683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0.21733630952380956</v>
      </c>
    </row>
    <row r="7" spans="1:2" x14ac:dyDescent="0.25">
      <c r="A7" t="s">
        <v>58</v>
      </c>
      <c r="B7" s="18">
        <f>-MAX(Forecast!F9,0)*B6</f>
        <v>-84761017.80133255</v>
      </c>
    </row>
    <row r="8" spans="1:2" x14ac:dyDescent="0.25">
      <c r="A8" t="s">
        <v>59</v>
      </c>
      <c r="B8" s="18">
        <f>IF(OR(Assumptions!$B$33=0,Assumptions!B12&lt;=0),B5,MAX(B5+B7,0))</f>
        <v>305238324.6327343</v>
      </c>
    </row>
    <row r="9" spans="1:2" x14ac:dyDescent="0.25">
      <c r="A9" t="s">
        <v>60</v>
      </c>
      <c r="B9" s="18">
        <f>B8*(1+Assumptions!B12)/(Assumptions!B26-Assumptions!B12)</f>
        <v>4838138830.961671</v>
      </c>
    </row>
    <row r="10" spans="1:2" x14ac:dyDescent="0.25">
      <c r="A10" t="s">
        <v>61</v>
      </c>
      <c r="B10" s="18">
        <f>B9/(1+Assumptions!B26)^(5-0.5*Assumptions!B32)</f>
        <v>3287424052.513897</v>
      </c>
    </row>
    <row r="11" spans="1:2" x14ac:dyDescent="0.25">
      <c r="A11" t="s">
        <v>62</v>
      </c>
      <c r="B11" s="18">
        <f>Forecast!B17+B10</f>
        <v>4721561355.530311</v>
      </c>
    </row>
    <row r="12" spans="1:2" x14ac:dyDescent="0.25">
      <c r="A12" t="s">
        <v>63</v>
      </c>
      <c r="B12" s="18">
        <f>-Assumptions!B30</f>
        <v>-200000000</v>
      </c>
    </row>
    <row r="13" spans="1:2" x14ac:dyDescent="0.25">
      <c r="A13" t="s">
        <v>64</v>
      </c>
      <c r="B13" s="18">
        <f>B11+B12</f>
        <v>4521561355.530311</v>
      </c>
    </row>
    <row r="14" spans="1:2" x14ac:dyDescent="0.25">
      <c r="A14" s="19" t="s">
        <v>65</v>
      </c>
      <c r="B14" s="24">
        <f>B13/Assumptions!B31</f>
        <v>13.01951104986401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609555498.4571247</v>
      </c>
    </row>
    <row r="18" spans="1:2" x14ac:dyDescent="0.25">
      <c r="A18" t="s">
        <v>60</v>
      </c>
      <c r="B18" s="18">
        <f>B17*Assumptions!B13</f>
        <v>6818331553.279364</v>
      </c>
    </row>
    <row r="19" spans="1:2" x14ac:dyDescent="0.25">
      <c r="A19" t="s">
        <v>61</v>
      </c>
      <c r="B19" s="18">
        <f>B18/(1+Assumptions!B26)^(5-0.5*Assumptions!B32)</f>
        <v>4632927646.230785</v>
      </c>
    </row>
    <row r="20" spans="1:2" x14ac:dyDescent="0.25">
      <c r="A20" t="s">
        <v>62</v>
      </c>
      <c r="B20" s="18">
        <f>Forecast!B17+B19</f>
        <v>6067064949.247199</v>
      </c>
    </row>
    <row r="21" spans="1:2" x14ac:dyDescent="0.25">
      <c r="A21" t="s">
        <v>63</v>
      </c>
      <c r="B21" s="18">
        <f>-Assumptions!B30</f>
        <v>-200000000</v>
      </c>
    </row>
    <row r="22" spans="1:2" x14ac:dyDescent="0.25">
      <c r="A22" t="s">
        <v>64</v>
      </c>
      <c r="B22" s="18">
        <f>B20+B21</f>
        <v>5867064949.247199</v>
      </c>
    </row>
    <row r="23" spans="1:2" x14ac:dyDescent="0.25">
      <c r="A23" s="19" t="s">
        <v>65</v>
      </c>
      <c r="B23" s="25">
        <f>B22/Assumptions!B31</f>
        <v>16.893791973776008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2537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1301.9511049864009</v>
      </c>
    </row>
    <row r="29" spans="1:2" x14ac:dyDescent="0.25">
      <c r="A29" s="19" t="s">
        <v>73</v>
      </c>
      <c r="B29" s="12">
        <f>B28/B26-1</f>
        <v>-0.48681470043894326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0.069667</v>
      </c>
      <c r="B5" s="31">
        <v>17.13438048579662</v>
      </c>
      <c r="C5" s="31">
        <v>17.814692852460364</v>
      </c>
      <c r="D5" s="31">
        <v>18.63924182905179</v>
      </c>
      <c r="E5" s="31">
        <v>19.662570213083068</v>
      </c>
      <c r="F5" s="31">
        <v>20.9706874980667</v>
      </c>
    </row>
    <row r="6" spans="1:6" x14ac:dyDescent="0.25">
      <c r="A6" s="30">
        <v>0.079667</v>
      </c>
      <c r="B6" s="31">
        <v>14.50261252056823</v>
      </c>
      <c r="C6" s="31">
        <v>14.879273834196336</v>
      </c>
      <c r="D6" s="31">
        <v>15.318512026177704</v>
      </c>
      <c r="E6" s="31">
        <v>15.839226026894668</v>
      </c>
      <c r="F6" s="31">
        <v>16.468776911213094</v>
      </c>
    </row>
    <row r="7" spans="1:6" x14ac:dyDescent="0.25">
      <c r="A7" s="30">
        <v>0.089667</v>
      </c>
      <c r="B7" s="31">
        <v>12.573559671703144</v>
      </c>
      <c r="C7" s="31">
        <v>12.782938183476967</v>
      </c>
      <c r="D7" s="32">
        <v>13.01956570898889</v>
      </c>
      <c r="E7" s="31">
        <v>13.290292520685531</v>
      </c>
      <c r="F7" s="31">
        <v>13.604475072968446</v>
      </c>
    </row>
    <row r="8" spans="1:6" x14ac:dyDescent="0.25">
      <c r="A8" s="30">
        <v>0.099667</v>
      </c>
      <c r="B8" s="31">
        <v>11.098341295167637</v>
      </c>
      <c r="C8" s="31">
        <v>11.209894421000369</v>
      </c>
      <c r="D8" s="31">
        <v>11.332124503272835</v>
      </c>
      <c r="E8" s="31">
        <v>11.46733039720481</v>
      </c>
      <c r="F8" s="31">
        <v>11.618521940501646</v>
      </c>
    </row>
    <row r="9" spans="1:6" x14ac:dyDescent="0.25">
      <c r="A9" s="30">
        <v>0.109667</v>
      </c>
      <c r="B9" s="31">
        <v>9.93323036584631</v>
      </c>
      <c r="C9" s="31">
        <v>9.985213294964998</v>
      </c>
      <c r="D9" s="31">
        <v>10.03972638130868</v>
      </c>
      <c r="E9" s="31">
        <v>10.097246012319768</v>
      </c>
      <c r="F9" s="31">
        <v>10.15837617865024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2778000000</v>
      </c>
      <c r="C5" s="18">
        <v>3037000000</v>
      </c>
      <c r="D5" s="18">
        <v>2566000000</v>
      </c>
      <c r="E5" s="8" t="s">
        <v>83</v>
      </c>
    </row>
    <row r="6" spans="1:5" x14ac:dyDescent="0.25">
      <c r="A6" t="s">
        <v>44</v>
      </c>
      <c r="B6" s="18">
        <v>527000000</v>
      </c>
      <c r="C6" s="18">
        <v>448000000</v>
      </c>
      <c r="D6" s="18">
        <v>152000000</v>
      </c>
      <c r="E6" s="8" t="s">
        <v>84</v>
      </c>
    </row>
    <row r="7" spans="1:5" x14ac:dyDescent="0.25">
      <c r="A7" t="s">
        <v>85</v>
      </c>
      <c r="B7" s="18">
        <v>135000000</v>
      </c>
      <c r="C7" s="18">
        <v>135000000</v>
      </c>
      <c r="D7" s="18">
        <v>129000000</v>
      </c>
      <c r="E7" s="8" t="s">
        <v>86</v>
      </c>
    </row>
    <row r="8" spans="1:5" x14ac:dyDescent="0.25">
      <c r="A8" t="s">
        <v>87</v>
      </c>
      <c r="B8" s="18">
        <v>86000000</v>
      </c>
      <c r="C8" s="18">
        <v>81000000</v>
      </c>
      <c r="D8" s="18">
        <v>88000000</v>
      </c>
      <c r="E8" s="8" t="s">
        <v>88</v>
      </c>
    </row>
    <row r="9" spans="1:5" x14ac:dyDescent="0.25">
      <c r="A9" t="s">
        <v>89</v>
      </c>
      <c r="B9" s="18">
        <v>37000000</v>
      </c>
      <c r="C9" s="18">
        <v>137000000</v>
      </c>
      <c r="D9" s="18">
        <v>102000000</v>
      </c>
      <c r="E9" s="8" t="s">
        <v>90</v>
      </c>
    </row>
    <row r="10" spans="1:5" x14ac:dyDescent="0.25">
      <c r="A10" t="s">
        <v>91</v>
      </c>
      <c r="B10" s="18">
        <v>659000000</v>
      </c>
      <c r="C10" s="18">
        <v>654000000</v>
      </c>
      <c r="D10" s="18">
        <v>1166000000</v>
      </c>
      <c r="E10" s="8" t="s">
        <v>92</v>
      </c>
    </row>
    <row r="11" spans="1:5" x14ac:dyDescent="0.25">
      <c r="A11" t="s">
        <v>93</v>
      </c>
      <c r="B11" s="18">
        <v>459000000</v>
      </c>
      <c r="C11" s="18">
        <v>285000000</v>
      </c>
      <c r="D11" s="18">
        <v>1056000000</v>
      </c>
      <c r="E11" s="8" t="s">
        <v>94</v>
      </c>
    </row>
    <row r="12" spans="1:5" x14ac:dyDescent="0.25">
      <c r="A12" t="s">
        <v>32</v>
      </c>
      <c r="B12" s="34">
        <v>347291180</v>
      </c>
      <c r="C12" s="34">
        <v>354681819</v>
      </c>
      <c r="D12" s="34">
        <v>388349758</v>
      </c>
      <c r="E12" s="8" t="s">
        <v>95</v>
      </c>
    </row>
    <row r="15" spans="1:1" x14ac:dyDescent="0.25">
      <c r="A15" s="19" t="s">
        <v>96</v>
      </c>
    </row>
    <row r="16" ht="22" customHeight="1" spans="1:5" x14ac:dyDescent="0.25">
      <c r="A16" s="35" t="s">
        <v>97</v>
      </c>
      <c r="B16" s="35"/>
      <c r="C16" s="35"/>
      <c r="D16" s="35"/>
      <c r="E16" s="35"/>
    </row>
    <row r="17" ht="22" customHeight="1" spans="1:5" x14ac:dyDescent="0.25">
      <c r="A17" s="35" t="s">
        <v>98</v>
      </c>
      <c r="B17" s="35"/>
      <c r="C17" s="35"/>
      <c r="D17" s="35"/>
      <c r="E17" s="35"/>
    </row>
    <row r="19" spans="1:1" x14ac:dyDescent="0.25">
      <c r="A19" s="36" t="s">
        <v>99</v>
      </c>
    </row>
  </sheetData>
  <mergeCells count="2">
    <mergeCell ref="A16:E16"/>
    <mergeCell ref="A17:E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2026-09-19T01:06:07Z</dcterms:modified>
</cp:coreProperties>
</file>