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<sst xmlns="http://schemas.openxmlformats.org/spreadsheetml/2006/main" count="115" uniqueCount="103">
  <si>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Stanmore Resources Limited (SMR.AX)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</si>
  <si>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</si>
  <si>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</si>
  <si>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</si>
  <si>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</si>
  <si>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</si>
  <si>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</si>
  <si>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</si>
  <si>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</si>
  <si>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</si>
  <si>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</si>
  <si>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</si>
  <si>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</si>
  <si>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</si>
  <si>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</si>
  <si>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</si>
  <si>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</si>
  <si>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</si>
  <si>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</si>
  <si>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Clamped from a reported -0.177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</si>
  <si>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</si>
  <si>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</si>
  <si>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</si>
  <si>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</si>
  <si>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</si>
  <si>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</si>
  <si>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</si>
  <si>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</si>
  <si>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</si>
  <si>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</si>
  <si>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</si>
  <si>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</si>
  <si>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</si>
  <si>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</si>
  <si>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</si>
  <si>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</si>
  <si>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</si>
  <si>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</si>
  <si>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</si>
  <si>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</si>
  <si>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</si>
  <si>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</si>
  <si>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</si>
  <si>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</si>
  <si>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</si>
  <si>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</si>
  <si>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</si>
  <si>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</si>
  <si>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</si>
  <si>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</si>
  <si>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</si>
  <si>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</si>
  <si>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</si>
  <si>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</si>
  <si>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</si>
  <si>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</si>
  <si>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</si>
  <si>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</si>
  <si>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</si>
  <si>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</si>
  <si>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</si>
  <si>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</si>
  <si>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</si>
  <si>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</si>
  <si>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</si>
  <si>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</si>
  <si>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</si>
  <si>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</si>
  <si>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</si>
  <si>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</si>
  <si>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</si>
  <si>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</si>
  <si>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</si>
  <si>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</si>
  <si>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</si>
  <si>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</si>
  <si>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</si>
  <si>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</si>
  <si>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</si>
  <si>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</si>
  <si>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</si>
  <si>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</si>
  <si>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</si>
  <si>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</si>
  <si>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</si>
  <si>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</si>
  <si>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</si>
  <si>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</si>
  <si>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</si>
  <si>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</si>
  <si>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</si>
  <si>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</si>
  <si>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</si>
  <si>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</si>
  <si>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</si>
  <si>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</si>
  <si>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</si>
  <si>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</si>
  <si>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</si>
  <si>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</si>
  <si>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Reported capital expenditure averages 6.22% of revenue against depreciation and amortisation of 13.99%. A business cannot depreciate more than it invests indefinitely. Capex has been set to 13.99%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</si>
  <si>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Beta of -0.177 is not usable in a cost of equity. Clamped to 0.30.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</si>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</sst>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-0.11301603835707896</v>
      </c>
    </row>
    <row r="7" spans="1:2" x14ac:dyDescent="0.25">
      <c r="A7" t="s">
        <v>5</v>
      </c>
      <c r="B7" s="6">
        <v>0.24436511212141188</v>
      </c>
    </row>
    <row r="8" spans="1:2" x14ac:dyDescent="0.25">
      <c r="A8" t="s">
        <v>6</v>
      </c>
      <c r="B8" s="6">
        <v>0.2910033320992225</v>
      </c>
    </row>
    <row r="9" spans="1:2" x14ac:dyDescent="0.25">
      <c r="A9" t="s">
        <v>7</v>
      </c>
      <c r="B9" s="6">
        <v>0.13985681420981932</v>
      </c>
    </row>
    <row r="10" spans="1:2" x14ac:dyDescent="0.25">
      <c r="A10" t="s">
        <v>8</v>
      </c>
      <c r="B10" s="6">
        <v>0.13985681420981932</v>
      </c>
    </row>
    <row r="11" spans="1:2" x14ac:dyDescent="0.25">
      <c r="A11" t="s">
        <v>9</v>
      </c>
      <c r="B11" s="6">
        <v>0.31095319774565056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4.5748949055025925</v>
      </c>
    </row>
    <row r="14" spans="1:3" x14ac:dyDescent="0.25">
      <c r="A14" t="s">
        <v>12</v>
      </c>
      <c r="B14" s="6">
        <v>0.2311576585763685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0.07148</v>
      </c>
    </row>
    <row r="21" spans="1:3" x14ac:dyDescent="0.25">
      <c r="A21" t="s">
        <v>21</v>
      </c>
      <c r="B21" s="6">
        <v>0.0747881003822503</v>
      </c>
      <c r="C21" s="8" t="s">
        <v>22</v>
      </c>
    </row>
    <row r="22" spans="1:2" x14ac:dyDescent="0.25">
      <c r="A22" t="s">
        <v>23</v>
      </c>
      <c r="B22" s="11">
        <v>2415729664</v>
      </c>
    </row>
    <row r="23" spans="1:2" x14ac:dyDescent="0.25">
      <c r="A23" t="s">
        <v>24</v>
      </c>
      <c r="B23" s="11">
        <v>531100000</v>
      </c>
    </row>
    <row r="24" spans="1:2" x14ac:dyDescent="0.25">
      <c r="A24" t="s">
        <v>25</v>
      </c>
      <c r="B24" s="10">
        <f>B22/(B22+B23)</f>
        <v>0.8197724128787649</v>
      </c>
    </row>
    <row r="25" spans="1:2" x14ac:dyDescent="0.25">
      <c r="A25" t="s">
        <v>26</v>
      </c>
      <c r="B25" s="10">
        <f>1-B24</f>
        <v>0.1802275871212351</v>
      </c>
    </row>
    <row r="26" spans="1:2" x14ac:dyDescent="0.25">
      <c r="A26" t="s">
        <v>27</v>
      </c>
      <c r="B26" s="12">
        <f>B24*B20+B25*B21*(1-B8)</f>
        <v>0.06815381228359933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1881200000</v>
      </c>
      <c r="C29" s="8" t="s">
        <v>30</v>
      </c>
    </row>
    <row r="30" spans="1:2" x14ac:dyDescent="0.25">
      <c r="A30" t="s">
        <v>31</v>
      </c>
      <c r="B30" s="11">
        <v>319600000</v>
      </c>
    </row>
    <row r="31" spans="1:2" x14ac:dyDescent="0.25">
      <c r="A31" t="s">
        <v>32</v>
      </c>
      <c r="B31" s="13">
        <v>901391634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-0.11301603835707896</v>
      </c>
      <c r="C5" s="10">
        <f>Assumptions!B6</f>
        <v>-0.11301603835707896</v>
      </c>
      <c r="D5" s="10">
        <f>Assumptions!B6</f>
        <v>-0.11301603835707896</v>
      </c>
      <c r="E5" s="10">
        <f>Assumptions!B6</f>
        <v>-0.11301603835707896</v>
      </c>
      <c r="F5" s="10">
        <f>Assumptions!B6</f>
        <v>-0.11301603835707896</v>
      </c>
    </row>
    <row r="6" spans="1:6" x14ac:dyDescent="0.25">
      <c r="A6" t="s">
        <v>43</v>
      </c>
      <c r="B6" s="18">
        <f>Assumptions!B29*(1+B5)</f>
        <v>1668594228.642663</v>
      </c>
      <c r="C6" s="18">
        <f>B6*(1+C5)</f>
        <v>1480016319.2959833</v>
      </c>
      <c r="D6" s="18">
        <f>C6*(1+D5)</f>
        <v>1312750738.1853256</v>
      </c>
      <c r="E6" s="18">
        <f>D6*(1+E5)</f>
        <v>1164388850.4052892</v>
      </c>
      <c r="F6" s="18">
        <f>E6*(1+F5)</f>
        <v>1032794235.4253299</v>
      </c>
    </row>
    <row r="7" spans="1:6" x14ac:dyDescent="0.25">
      <c r="A7" t="s">
        <v>5</v>
      </c>
      <c r="B7" s="10">
        <f>Assumptions!B7</f>
        <v>0.24436511212141188</v>
      </c>
      <c r="C7" s="10">
        <f>Assumptions!B7</f>
        <v>0.24436511212141188</v>
      </c>
      <c r="D7" s="10">
        <f>Assumptions!B7</f>
        <v>0.24436511212141188</v>
      </c>
      <c r="E7" s="10">
        <f>Assumptions!B7</f>
        <v>0.24436511212141188</v>
      </c>
      <c r="F7" s="10">
        <f>Assumptions!B7</f>
        <v>0.24436511212141188</v>
      </c>
    </row>
    <row r="8" spans="1:6" x14ac:dyDescent="0.25">
      <c r="A8" t="s">
        <v>44</v>
      </c>
      <c r="B8" s="18">
        <f>B6*B7</f>
        <v>407746215.7674051</v>
      </c>
      <c r="C8" s="18">
        <f>C6*C7</f>
        <v>361664353.8062823</v>
      </c>
      <c r="D8" s="18">
        <f>D6*D7</f>
        <v>320790481.3241233</v>
      </c>
      <c r="E8" s="18">
        <f>E6*E7</f>
        <v>284536011.9822104</v>
      </c>
      <c r="F8" s="18">
        <f>F6*F7</f>
        <v>252378879.1380586</v>
      </c>
    </row>
    <row r="9" spans="1:6" x14ac:dyDescent="0.25">
      <c r="A9" t="s">
        <v>45</v>
      </c>
      <c r="B9" s="18">
        <f>B8*(1-Assumptions!B8)</f>
        <v>289090708.3282417</v>
      </c>
      <c r="C9" s="18">
        <f>C8*(1-Assumptions!B8)</f>
        <v>256418821.74714202</v>
      </c>
      <c r="D9" s="18">
        <f>D8*(1-Assumptions!B8)</f>
        <v>227439382.35309005</v>
      </c>
      <c r="E9" s="18">
        <f>E8*(1-Assumptions!B8)</f>
        <v>201735084.39316288</v>
      </c>
      <c r="F9" s="18">
        <f>F8*(1-Assumptions!B8)</f>
        <v>178935784.3574166</v>
      </c>
    </row>
    <row r="10" spans="1:6" x14ac:dyDescent="0.25">
      <c r="A10" t="s">
        <v>46</v>
      </c>
      <c r="B10" s="18">
        <f>B6*Assumptions!B9</f>
        <v>233364273.0268537</v>
      </c>
      <c r="C10" s="18">
        <f>C6*Assumptions!B9</f>
        <v>206990367.39527896</v>
      </c>
      <c r="D10" s="18">
        <f>D6*Assumptions!B9</f>
        <v>183597136.09418824</v>
      </c>
      <c r="E10" s="18">
        <f>E6*Assumptions!B9</f>
        <v>162847715.11911765</v>
      </c>
      <c r="F10" s="18">
        <f>F6*Assumptions!B9</f>
        <v>144443311.50085276</v>
      </c>
    </row>
    <row r="11" spans="1:6" x14ac:dyDescent="0.25">
      <c r="A11" t="s">
        <v>47</v>
      </c>
      <c r="B11" s="18">
        <f>-B6*Assumptions!B10</f>
        <v>-233364273.0268537</v>
      </c>
      <c r="C11" s="18">
        <f>-C6*Assumptions!B10</f>
        <v>-206990367.39527896</v>
      </c>
      <c r="D11" s="18">
        <f>-D6*Assumptions!B10</f>
        <v>-183597136.09418824</v>
      </c>
      <c r="E11" s="18">
        <f>-E6*Assumptions!B10</f>
        <v>-162847715.11911765</v>
      </c>
      <c r="F11" s="18">
        <f>-F6*Assumptions!B10</f>
        <v>-144443311.50085276</v>
      </c>
    </row>
    <row r="12" spans="1:6" x14ac:dyDescent="0.25">
      <c r="A12" t="s">
        <v>48</v>
      </c>
      <c r="B12" s="18">
        <f>-(B6-Assumptions!B29)*Assumptions!B11</f>
        <v>66110444.46274458</v>
      </c>
      <c r="C12" s="18">
        <f>-(C6-B6)*Assumptions!B11</f>
        <v>58638903.935539454</v>
      </c>
      <c r="D12" s="18">
        <f>-(D6-C6)*Assumptions!B11</f>
        <v>52011767.3191435</v>
      </c>
      <c r="E12" s="18">
        <f>-(E6-D6)*Assumptions!B11</f>
        <v>46133603.42878369</v>
      </c>
      <c r="F12" s="18">
        <f>-(F6-E6)*Assumptions!B11</f>
        <v>40919766.33412602</v>
      </c>
    </row>
    <row r="13" spans="1:6" x14ac:dyDescent="0.25">
      <c r="A13" s="19" t="s">
        <v>49</v>
      </c>
      <c r="B13" s="20">
        <f>B9+B10+B11+B12</f>
        <v>355201152.7909863</v>
      </c>
      <c r="C13" s="20">
        <f>C9+C10+C11+C12</f>
        <v>315057725.6826815</v>
      </c>
      <c r="D13" s="20">
        <f>D9+D10+D11+D12</f>
        <v>279451149.6722335</v>
      </c>
      <c r="E13" s="20">
        <f>E9+E10+E11+E12</f>
        <v>247868687.82194656</v>
      </c>
      <c r="F13" s="20">
        <f>F9+F10+F11+F12</f>
        <v>219855550.6915426</v>
      </c>
    </row>
    <row r="14" spans="1:6" x14ac:dyDescent="0.25">
      <c r="A14" t="s">
        <v>50</v>
      </c>
      <c r="B14" s="21">
        <f>1/(1+Assumptions!$B$26)^(1-0.5*Assumptions!$B$32)</f>
        <v>0.9675715778119288</v>
      </c>
      <c r="C14" s="21">
        <f>1/(1+Assumptions!$B$26)^(2-0.5*Assumptions!$B$32)</f>
        <v>0.9058354393206384</v>
      </c>
      <c r="D14" s="21">
        <f>1/(1+Assumptions!$B$26)^(3-0.5*Assumptions!$B$32)</f>
        <v>0.8480383900742331</v>
      </c>
      <c r="E14" s="21">
        <f>1/(1+Assumptions!$B$26)^(4-0.5*Assumptions!$B$32)</f>
        <v>0.7939290955309302</v>
      </c>
      <c r="F14" s="21">
        <f>1/(1+Assumptions!$B$26)^(5-0.5*Assumptions!$B$32)</f>
        <v>0.7432722576101602</v>
      </c>
    </row>
    <row r="15" spans="1:6" x14ac:dyDescent="0.25">
      <c r="A15" s="19" t="s">
        <v>51</v>
      </c>
      <c r="B15" s="20">
        <f>B13*B14</f>
        <v>343682539.84659064</v>
      </c>
      <c r="C15" s="20">
        <f>C13*C14</f>
        <v>285390453.355133</v>
      </c>
      <c r="D15" s="20">
        <f>D13*D14</f>
        <v>236985303.07243446</v>
      </c>
      <c r="E15" s="20">
        <f>E13*E14</f>
        <v>196790163.1329165</v>
      </c>
      <c r="F15" s="20">
        <f>F13*F14</f>
        <v>163412531.5106279</v>
      </c>
    </row>
    <row r="17" spans="1:2" x14ac:dyDescent="0.25">
      <c r="A17" s="22" t="s">
        <v>52</v>
      </c>
      <c r="B17" s="23">
        <f>SUM(B15:F15)</f>
        <v>1226260990.9177024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219855550.6915426</v>
      </c>
    </row>
    <row r="5" spans="1:2" x14ac:dyDescent="0.25">
      <c r="A5" t="s">
        <v>56</v>
      </c>
      <c r="B5" s="18">
        <f>IF(Assumptions!$B$33=0,B4,B4-Forecast!F11-Forecast!F10-Forecast!F12)</f>
        <v>178935784.3574166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0.10815129446269525</v>
      </c>
    </row>
    <row r="7" spans="1:2" x14ac:dyDescent="0.25">
      <c r="A7" t="s">
        <v>58</v>
      </c>
      <c r="B7" s="18">
        <f>-MAX(Forecast!F9,0)*B6</f>
        <v>-19352136.7039523</v>
      </c>
    </row>
    <row r="8" spans="1:2" x14ac:dyDescent="0.25">
      <c r="A8" t="s">
        <v>59</v>
      </c>
      <c r="B8" s="18">
        <f>IF(OR(Assumptions!$B$33=0,Assumptions!B12&lt;=0),B5,MAX(B5+B7,0))</f>
        <v>159583647.6534643</v>
      </c>
    </row>
    <row r="9" spans="1:2" x14ac:dyDescent="0.25">
      <c r="A9" t="s">
        <v>60</v>
      </c>
      <c r="B9" s="18">
        <f>B8*(1+Assumptions!B12)/(Assumptions!B26-Assumptions!B12)</f>
        <v>3790470185.341357</v>
      </c>
    </row>
    <row r="10" spans="1:2" x14ac:dyDescent="0.25">
      <c r="A10" t="s">
        <v>61</v>
      </c>
      <c r="B10" s="18">
        <f>B9/(1+Assumptions!B26)^(5-0.5*Assumptions!B32)</f>
        <v>2817351332.062673</v>
      </c>
    </row>
    <row r="11" spans="1:2" x14ac:dyDescent="0.25">
      <c r="A11" t="s">
        <v>62</v>
      </c>
      <c r="B11" s="18">
        <f>Forecast!B17+B10</f>
        <v>4043612322.9803753</v>
      </c>
    </row>
    <row r="12" spans="1:2" x14ac:dyDescent="0.25">
      <c r="A12" t="s">
        <v>63</v>
      </c>
      <c r="B12" s="18">
        <f>-Assumptions!B30</f>
        <v>-319600000</v>
      </c>
    </row>
    <row r="13" spans="1:2" x14ac:dyDescent="0.25">
      <c r="A13" t="s">
        <v>64</v>
      </c>
      <c r="B13" s="18">
        <f>B11+B12</f>
        <v>3724012322.9803753</v>
      </c>
    </row>
    <row r="14" spans="1:2" x14ac:dyDescent="0.25">
      <c r="A14" s="19" t="s">
        <v>65</v>
      </c>
      <c r="B14" s="24">
        <f>B13/Assumptions!B31</f>
        <v>4.131403246394425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396822190.63891137</v>
      </c>
    </row>
    <row r="18" spans="1:2" x14ac:dyDescent="0.25">
      <c r="A18" t="s">
        <v>60</v>
      </c>
      <c r="B18" s="18">
        <f>B17*Assumptions!B13</f>
        <v>1815419818.3443341</v>
      </c>
    </row>
    <row r="19" spans="1:2" x14ac:dyDescent="0.25">
      <c r="A19" t="s">
        <v>61</v>
      </c>
      <c r="B19" s="18">
        <f>B18/(1+Assumptions!B26)^(5-0.5*Assumptions!B32)</f>
        <v>1349351186.8910203</v>
      </c>
    </row>
    <row r="20" spans="1:2" x14ac:dyDescent="0.25">
      <c r="A20" t="s">
        <v>62</v>
      </c>
      <c r="B20" s="18">
        <f>Forecast!B17+B19</f>
        <v>2575612177.8087225</v>
      </c>
    </row>
    <row r="21" spans="1:2" x14ac:dyDescent="0.25">
      <c r="A21" t="s">
        <v>63</v>
      </c>
      <c r="B21" s="18">
        <f>-Assumptions!B30</f>
        <v>-319600000</v>
      </c>
    </row>
    <row r="22" spans="1:2" x14ac:dyDescent="0.25">
      <c r="A22" t="s">
        <v>64</v>
      </c>
      <c r="B22" s="18">
        <f>B20+B21</f>
        <v>2256012177.8087225</v>
      </c>
    </row>
    <row r="23" spans="1:2" x14ac:dyDescent="0.25">
      <c r="A23" s="19" t="s">
        <v>65</v>
      </c>
      <c r="B23" s="25">
        <f>B22/Assumptions!B31</f>
        <v>2.5028102022618977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2.68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5.80131643858705</v>
      </c>
    </row>
    <row r="29" spans="1:2" x14ac:dyDescent="0.25">
      <c r="A29" s="19" t="s">
        <v>73</v>
      </c>
      <c r="B29" s="12">
        <f>B28/B26-1</f>
        <v>1.1646703129056157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0.048154</v>
      </c>
      <c r="B5" s="31">
        <v>5.661315958856223</v>
      </c>
      <c r="C5" s="31">
        <v>6.378861610284941</v>
      </c>
      <c r="D5" s="31">
        <v>7.404807896687667</v>
      </c>
      <c r="E5" s="31">
        <v>8.993975217128531</v>
      </c>
      <c r="F5" s="31">
        <v>11.78862565998917</v>
      </c>
    </row>
    <row r="6" spans="1:6" x14ac:dyDescent="0.25">
      <c r="A6" s="30">
        <v>0.058154</v>
      </c>
      <c r="B6" s="31">
        <v>4.419028365701717</v>
      </c>
      <c r="C6" s="31">
        <v>4.792542549128946</v>
      </c>
      <c r="D6" s="31">
        <v>5.277712855747622</v>
      </c>
      <c r="E6" s="31">
        <v>5.934027878577271</v>
      </c>
      <c r="F6" s="31">
        <v>6.872361364839307</v>
      </c>
    </row>
    <row r="7" spans="1:6" x14ac:dyDescent="0.25">
      <c r="A7" s="30">
        <v>0.068154</v>
      </c>
      <c r="B7" s="31">
        <v>3.6404998986360986</v>
      </c>
      <c r="C7" s="31">
        <v>3.8607894128281206</v>
      </c>
      <c r="D7" s="32">
        <v>4.131386668586802</v>
      </c>
      <c r="E7" s="31">
        <v>4.472069831333859</v>
      </c>
      <c r="F7" s="31">
        <v>4.914548155000206</v>
      </c>
    </row>
    <row r="8" spans="1:6" x14ac:dyDescent="0.25">
      <c r="A8" s="30">
        <v>0.078154</v>
      </c>
      <c r="B8" s="31">
        <v>3.1055870437705213</v>
      </c>
      <c r="C8" s="31">
        <v>3.2461098818170706</v>
      </c>
      <c r="D8" s="31">
        <v>3.4124938803804965</v>
      </c>
      <c r="E8" s="31">
        <v>3.6127948065362916</v>
      </c>
      <c r="F8" s="31">
        <v>3.8588019246373677</v>
      </c>
    </row>
    <row r="9" spans="1:6" x14ac:dyDescent="0.25">
      <c r="A9" s="30">
        <v>0.088154</v>
      </c>
      <c r="B9" s="31">
        <v>2.7145106110827264</v>
      </c>
      <c r="C9" s="31">
        <v>2.8090784268650046</v>
      </c>
      <c r="D9" s="31">
        <v>2.918155526723403</v>
      </c>
      <c r="E9" s="31">
        <v>3.045484374824477</v>
      </c>
      <c r="F9" s="31">
        <v>3.196215594331866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1881200000</v>
      </c>
      <c r="C5" s="18">
        <v>2395500000</v>
      </c>
      <c r="D5" s="18">
        <v>2803600000</v>
      </c>
      <c r="E5" s="18">
        <v>2695800000</v>
      </c>
      <c r="F5" s="8" t="s">
        <v>84</v>
      </c>
    </row>
    <row r="6" spans="1:6" x14ac:dyDescent="0.25">
      <c r="A6" t="s">
        <v>44</v>
      </c>
      <c r="B6" s="18">
        <v>197100000</v>
      </c>
      <c r="C6" s="18">
        <v>590300000</v>
      </c>
      <c r="D6" s="18">
        <v>777900000</v>
      </c>
      <c r="E6" s="18">
        <v>940300000</v>
      </c>
      <c r="F6" s="8" t="s">
        <v>85</v>
      </c>
    </row>
    <row r="7" spans="1:6" x14ac:dyDescent="0.25">
      <c r="A7" t="s">
        <v>86</v>
      </c>
      <c r="B7" s="18">
        <v>400800000</v>
      </c>
      <c r="C7" s="18">
        <v>364300000</v>
      </c>
      <c r="D7" s="18">
        <v>310000000</v>
      </c>
      <c r="E7" s="18">
        <v>225700000</v>
      </c>
      <c r="F7" s="8" t="s">
        <v>87</v>
      </c>
    </row>
    <row r="8" spans="1:6" x14ac:dyDescent="0.25">
      <c r="A8" t="s">
        <v>88</v>
      </c>
      <c r="B8" s="18">
        <v>110400000</v>
      </c>
      <c r="C8" s="18">
        <v>185700000</v>
      </c>
      <c r="D8" s="18">
        <v>193300000</v>
      </c>
      <c r="E8" s="18">
        <v>117900000</v>
      </c>
      <c r="F8" s="8" t="s">
        <v>89</v>
      </c>
    </row>
    <row r="9" spans="1:6" x14ac:dyDescent="0.25">
      <c r="A9" t="s">
        <v>90</v>
      </c>
      <c r="B9" s="18">
        <v>51900000</v>
      </c>
      <c r="C9" s="18">
        <v>-126900000</v>
      </c>
      <c r="D9" s="18">
        <v>44000000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531100000</v>
      </c>
      <c r="C10" s="18">
        <v>672300000</v>
      </c>
      <c r="D10" s="18">
        <v>775700000</v>
      </c>
      <c r="E10" s="18">
        <v>864200000</v>
      </c>
      <c r="F10" s="8" t="s">
        <v>93</v>
      </c>
    </row>
    <row r="11" spans="1:6" x14ac:dyDescent="0.25">
      <c r="A11" t="s">
        <v>94</v>
      </c>
      <c r="B11" s="18">
        <v>211500000</v>
      </c>
      <c r="C11" s="18">
        <v>288900000</v>
      </c>
      <c r="D11" s="18">
        <v>446300000</v>
      </c>
      <c r="E11" s="18">
        <v>432400000</v>
      </c>
      <c r="F11" s="8" t="s">
        <v>95</v>
      </c>
    </row>
    <row r="12" spans="1:6" x14ac:dyDescent="0.25">
      <c r="A12" t="s">
        <v>32</v>
      </c>
      <c r="B12" s="34">
        <v>901391634</v>
      </c>
      <c r="C12" s="34">
        <v>901391634</v>
      </c>
      <c r="D12" s="34">
        <v>901381698</v>
      </c>
      <c r="E12" s="34">
        <v>794228828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