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<sst xmlns="http://schemas.openxmlformats.org/spreadsheetml/2006/main" count="113" uniqueCount="101">
  <si>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Smith &amp; Nephew plc (SN.L)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</si>
  <si>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</si>
  <si>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</si>
  <si>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</si>
  <si>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</si>
  <si>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</si>
  <si>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</si>
  <si>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</si>
  <si>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</si>
  <si>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</si>
  <si>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</si>
  <si>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</si>
  <si>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</si>
  <si>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</si>
  <si>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</si>
  <si>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</si>
  <si>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</si>
  <si>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</si>
  <si>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</si>
  <si>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</si>
  <si>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</si>
  <si>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</si>
  <si>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</si>
  <si>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</si>
  <si>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</si>
  <si>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</si>
  <si>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</si>
  <si>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</si>
  <si>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</si>
  <si>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</si>
  <si>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</si>
  <si>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</si>
  <si>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</si>
  <si>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</si>
  <si>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</si>
  <si>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</si>
  <si>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</si>
  <si>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</si>
  <si>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</si>
  <si>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</si>
  <si>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</si>
  <si>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</si>
  <si>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</si>
  <si>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</si>
  <si>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</si>
  <si>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</si>
  <si>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</si>
  <si>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</si>
  <si>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</si>
  <si>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</si>
  <si>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</si>
  <si>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</si>
  <si>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</si>
  <si>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</si>
  <si>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</si>
  <si>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</si>
  <si>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</si>
  <si>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</si>
  <si>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</si>
  <si>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</si>
  <si>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</si>
  <si>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</si>
  <si>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</si>
  <si>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</si>
  <si>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</si>
  <si>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</si>
  <si>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</si>
  <si>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</si>
  <si>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</si>
  <si>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</si>
  <si>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</si>
  <si>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</si>
  <si>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</si>
  <si>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</si>
  <si>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</si>
  <si>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</si>
  <si>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</si>
  <si>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</si>
  <si>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</si>
  <si>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</si>
  <si>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</si>
  <si>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</si>
  <si>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</si>
  <si>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</si>
  <si>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</si>
  <si>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</si>
  <si>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</si>
  <si>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</si>
  <si>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</si>
  <si>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</si>
  <si>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</si>
  <si>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</si>
  <si>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</si>
  <si>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</si>
  <si>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</si>
  <si>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</si>
  <si>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</si>
  <si>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</si>
  <si>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GBp. Modelled in USD, converted at the end.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</si>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</sst>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0.05731105333140407</v>
      </c>
    </row>
    <row r="7" spans="1:2" x14ac:dyDescent="0.25">
      <c r="A7" t="s">
        <v>5</v>
      </c>
      <c r="B7" s="6">
        <v>0.13008949508924275</v>
      </c>
    </row>
    <row r="8" spans="1:2" x14ac:dyDescent="0.25">
      <c r="A8" t="s">
        <v>6</v>
      </c>
      <c r="B8" s="6">
        <v>0.13289710566403545</v>
      </c>
    </row>
    <row r="9" spans="1:2" x14ac:dyDescent="0.25">
      <c r="A9" t="s">
        <v>7</v>
      </c>
      <c r="B9" s="6">
        <v>0.09717496736706088</v>
      </c>
    </row>
    <row r="10" spans="1:2" x14ac:dyDescent="0.25">
      <c r="A10" t="s">
        <v>8</v>
      </c>
      <c r="B10" s="6">
        <v>0.07035552938583986</v>
      </c>
    </row>
    <row r="11" spans="1:2" x14ac:dyDescent="0.25">
      <c r="A11" t="s">
        <v>9</v>
      </c>
      <c r="B11" s="6">
        <v>0.4099616858237548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7.945834353598882</v>
      </c>
    </row>
    <row r="14" spans="1:3" x14ac:dyDescent="0.25">
      <c r="A14" t="s">
        <v>12</v>
      </c>
      <c r="B14" s="6">
        <v>0.07887297574724698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0.7856000000000001</v>
      </c>
      <c r="C19" s="8" t="s">
        <v>19</v>
      </c>
    </row>
    <row r="20" spans="1:2" x14ac:dyDescent="0.25">
      <c r="A20" t="s">
        <v>20</v>
      </c>
      <c r="B20" s="10">
        <f>B17+B19*B18</f>
        <v>0.08820800000000001</v>
      </c>
    </row>
    <row r="21" spans="1:3" x14ac:dyDescent="0.25">
      <c r="A21" t="s">
        <v>21</v>
      </c>
      <c r="B21" s="6">
        <v>0.05385078219013237</v>
      </c>
      <c r="C21" s="8" t="s">
        <v>22</v>
      </c>
    </row>
    <row r="22" spans="1:2" x14ac:dyDescent="0.25">
      <c r="A22" t="s">
        <v>23</v>
      </c>
      <c r="B22" s="11">
        <v>8600488960</v>
      </c>
    </row>
    <row r="23" spans="1:2" x14ac:dyDescent="0.25">
      <c r="A23" t="s">
        <v>24</v>
      </c>
      <c r="B23" s="11">
        <v>3327000000</v>
      </c>
    </row>
    <row r="24" spans="1:2" x14ac:dyDescent="0.25">
      <c r="A24" t="s">
        <v>25</v>
      </c>
      <c r="B24" s="10">
        <f>B22/(B22+B23)</f>
        <v>0.721064508115881</v>
      </c>
    </row>
    <row r="25" spans="1:2" x14ac:dyDescent="0.25">
      <c r="A25" t="s">
        <v>26</v>
      </c>
      <c r="B25" s="10">
        <f>1-B24</f>
        <v>0.27893549188411904</v>
      </c>
    </row>
    <row r="26" spans="1:2" x14ac:dyDescent="0.25">
      <c r="A26" t="s">
        <v>27</v>
      </c>
      <c r="B26" s="12">
        <f>B24*B20+B25*B21*(1-B8)</f>
        <v>0.07662831915772451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6164000000</v>
      </c>
      <c r="C29" s="8" t="s">
        <v>30</v>
      </c>
    </row>
    <row r="30" spans="1:2" x14ac:dyDescent="0.25">
      <c r="A30" t="s">
        <v>31</v>
      </c>
      <c r="B30" s="11">
        <v>2770000000</v>
      </c>
    </row>
    <row r="31" spans="1:2" x14ac:dyDescent="0.25">
      <c r="A31" t="s">
        <v>32</v>
      </c>
      <c r="B31" s="13">
        <v>872905028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0.05731105333140407</v>
      </c>
      <c r="C5" s="10">
        <f>Assumptions!B6</f>
        <v>0.05731105333140407</v>
      </c>
      <c r="D5" s="10">
        <f>Assumptions!B6</f>
        <v>0.05731105333140407</v>
      </c>
      <c r="E5" s="10">
        <f>Assumptions!B6</f>
        <v>0.05731105333140407</v>
      </c>
      <c r="F5" s="10">
        <f>Assumptions!B6</f>
        <v>0.05731105333140407</v>
      </c>
    </row>
    <row r="6" spans="1:6" x14ac:dyDescent="0.25">
      <c r="A6" t="s">
        <v>43</v>
      </c>
      <c r="B6" s="18">
        <f>Assumptions!B29*(1+B5)</f>
        <v>6517265332.734775</v>
      </c>
      <c r="C6" s="18">
        <f>B6*(1+C5)</f>
        <v>6890776673.794048</v>
      </c>
      <c r="D6" s="18">
        <f>C6*(1+D5)</f>
        <v>7285694343.240654</v>
      </c>
      <c r="E6" s="18">
        <f>D6*(1+E5)</f>
        <v>7703245160.302428</v>
      </c>
      <c r="F6" s="18">
        <f>E6*(1+F5)</f>
        <v>8144726254.509401</v>
      </c>
    </row>
    <row r="7" spans="1:6" x14ac:dyDescent="0.25">
      <c r="A7" t="s">
        <v>5</v>
      </c>
      <c r="B7" s="10">
        <f>Assumptions!B7</f>
        <v>0.13008949508924275</v>
      </c>
      <c r="C7" s="10">
        <f>Assumptions!B7</f>
        <v>0.13008949508924275</v>
      </c>
      <c r="D7" s="10">
        <f>Assumptions!B7</f>
        <v>0.13008949508924275</v>
      </c>
      <c r="E7" s="10">
        <f>Assumptions!B7</f>
        <v>0.13008949508924275</v>
      </c>
      <c r="F7" s="10">
        <f>Assumptions!B7</f>
        <v>0.13008949508924275</v>
      </c>
    </row>
    <row r="8" spans="1:6" x14ac:dyDescent="0.25">
      <c r="A8" t="s">
        <v>44</v>
      </c>
      <c r="B8" s="18">
        <f>B6*B7</f>
        <v>847827756.4980925</v>
      </c>
      <c r="C8" s="18">
        <f>C6*C7</f>
        <v>896417658.2665993</v>
      </c>
      <c r="D8" s="18">
        <f>D6*D7</f>
        <v>947792298.4867288</v>
      </c>
      <c r="E8" s="18">
        <f>E6*E7</f>
        <v>1002111273.4523957</v>
      </c>
      <c r="F8" s="18">
        <f>F6*F7</f>
        <v>1059543326.0892273</v>
      </c>
    </row>
    <row r="9" spans="1:6" x14ac:dyDescent="0.25">
      <c r="A9" t="s">
        <v>45</v>
      </c>
      <c r="B9" s="18">
        <f>B8*(1-Assumptions!B8)</f>
        <v>735153901.5578634</v>
      </c>
      <c r="C9" s="18">
        <f>C8*(1-Assumptions!B8)</f>
        <v>777286346.0168358</v>
      </c>
      <c r="D9" s="18">
        <f>D8*(1-Assumptions!B8)</f>
        <v>821833445.2471789</v>
      </c>
      <c r="E9" s="18">
        <f>E8*(1-Assumptions!B8)</f>
        <v>868933585.6572715</v>
      </c>
      <c r="F9" s="18">
        <f>F8*(1-Assumptions!B8)</f>
        <v>918733084.7263237</v>
      </c>
    </row>
    <row r="10" spans="1:6" x14ac:dyDescent="0.25">
      <c r="A10" t="s">
        <v>46</v>
      </c>
      <c r="B10" s="18">
        <f>B6*Assumptions!B9</f>
        <v>633315046.0309789</v>
      </c>
      <c r="C10" s="18">
        <f>C6*Assumptions!B9</f>
        <v>669610998.409641</v>
      </c>
      <c r="D10" s="18">
        <f>D6*Assumptions!B9</f>
        <v>707987110.0507907</v>
      </c>
      <c r="E10" s="18">
        <f>E6*Assumptions!B9</f>
        <v>748562597.0728581</v>
      </c>
      <c r="F10" s="18">
        <f>F6*Assumptions!B9</f>
        <v>791463507.9955951</v>
      </c>
    </row>
    <row r="11" spans="1:6" x14ac:dyDescent="0.25">
      <c r="A11" t="s">
        <v>47</v>
      </c>
      <c r="B11" s="18">
        <f>-B6*Assumptions!B10</f>
        <v>-458525652.6325368</v>
      </c>
      <c r="C11" s="18">
        <f>-C6*Assumptions!B10</f>
        <v>-484804240.764377</v>
      </c>
      <c r="D11" s="18">
        <f>-D6*Assumptions!B10</f>
        <v>-512588882.46211505</v>
      </c>
      <c r="E11" s="18">
        <f>-E6*Assumptions!B10</f>
        <v>-541965891.2419862</v>
      </c>
      <c r="F11" s="18">
        <f>-F6*Assumptions!B10</f>
        <v>-573026527.3387576</v>
      </c>
    </row>
    <row r="12" spans="1:6" x14ac:dyDescent="0.25">
      <c r="A12" t="s">
        <v>48</v>
      </c>
      <c r="B12" s="18">
        <f>-(B6-Assumptions!B29)*Assumptions!B11</f>
        <v>-144825251.35103786</v>
      </c>
      <c r="C12" s="18">
        <f>-(C6-B6)*Assumptions!B11</f>
        <v>-153125339.0549513</v>
      </c>
      <c r="D12" s="18">
        <f>-(D6-C6)*Assumptions!B11</f>
        <v>-161901113.52791882</v>
      </c>
      <c r="E12" s="18">
        <f>-(E6-D6)*Assumptions!B11</f>
        <v>-171179836.8797312</v>
      </c>
      <c r="F12" s="18">
        <f>-(F6-E6)*Assumptions!B11</f>
        <v>-180990333.6404066</v>
      </c>
    </row>
    <row r="13" spans="1:6" x14ac:dyDescent="0.25">
      <c r="A13" s="19" t="s">
        <v>49</v>
      </c>
      <c r="B13" s="20">
        <f>B9+B10+B11+B12</f>
        <v>765118043.6052676</v>
      </c>
      <c r="C13" s="20">
        <f>C9+C10+C11+C12</f>
        <v>808967764.6071486</v>
      </c>
      <c r="D13" s="20">
        <f>D9+D10+D11+D12</f>
        <v>855330559.3079357</v>
      </c>
      <c r="E13" s="20">
        <f>E9+E10+E11+E12</f>
        <v>904350454.6084123</v>
      </c>
      <c r="F13" s="20">
        <f>F9+F10+F11+F12</f>
        <v>956179731.7427545</v>
      </c>
    </row>
    <row r="14" spans="1:6" x14ac:dyDescent="0.25">
      <c r="A14" t="s">
        <v>50</v>
      </c>
      <c r="B14" s="21">
        <f>1/(1+Assumptions!$B$26)^(1-0.5*Assumptions!$B$32)</f>
        <v>0.9637560124494619</v>
      </c>
      <c r="C14" s="21">
        <f>1/(1+Assumptions!$B$26)^(2-0.5*Assumptions!$B$32)</f>
        <v>0.8951613061817231</v>
      </c>
      <c r="D14" s="21">
        <f>1/(1+Assumptions!$B$26)^(3-0.5*Assumptions!$B$32)</f>
        <v>0.8314487834409111</v>
      </c>
      <c r="E14" s="21">
        <f>1/(1+Assumptions!$B$26)^(4-0.5*Assumptions!$B$32)</f>
        <v>0.7722709579953979</v>
      </c>
      <c r="F14" s="21">
        <f>1/(1+Assumptions!$B$26)^(5-0.5*Assumptions!$B$32)</f>
        <v>0.7173050757196935</v>
      </c>
    </row>
    <row r="15" spans="1:6" x14ac:dyDescent="0.25">
      <c r="A15" s="19" t="s">
        <v>51</v>
      </c>
      <c r="B15" s="20">
        <f>B13*B14</f>
        <v>737387114.7581462</v>
      </c>
      <c r="C15" s="20">
        <f>C13*C14</f>
        <v>724156640.8246439</v>
      </c>
      <c r="D15" s="20">
        <f>D13*D14</f>
        <v>711163552.9764172</v>
      </c>
      <c r="E15" s="20">
        <f>E13*E14</f>
        <v>698403591.9440122</v>
      </c>
      <c r="F15" s="20">
        <f>F13*F14</f>
        <v>685872574.8793727</v>
      </c>
    </row>
    <row r="17" spans="1:2" x14ac:dyDescent="0.25">
      <c r="A17" s="22" t="s">
        <v>52</v>
      </c>
      <c r="B17" s="23">
        <f>SUM(B15:F15)</f>
        <v>3556983475.3825917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956179731.7427545</v>
      </c>
    </row>
    <row r="5" spans="1:2" x14ac:dyDescent="0.25">
      <c r="A5" t="s">
        <v>56</v>
      </c>
      <c r="B5" s="18">
        <f>IF(Assumptions!$B$33=0,B4,B4-Forecast!F11-Forecast!F10-Forecast!F12)</f>
        <v>1204932072.0706596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0.31696534539426974</v>
      </c>
    </row>
    <row r="7" spans="1:2" x14ac:dyDescent="0.25">
      <c r="A7" t="s">
        <v>58</v>
      </c>
      <c r="B7" s="18">
        <f>-MAX(Forecast!F9,0)*B6</f>
        <v>-381921710.4005098</v>
      </c>
    </row>
    <row r="8" spans="1:2" x14ac:dyDescent="0.25">
      <c r="A8" t="s">
        <v>59</v>
      </c>
      <c r="B8" s="18">
        <f>IF(OR(Assumptions!$B$33=0,Assumptions!B12&lt;=0),B5,MAX(B5+B7,0))</f>
        <v>823010361.6701498</v>
      </c>
    </row>
    <row r="9" spans="1:2" x14ac:dyDescent="0.25">
      <c r="A9" t="s">
        <v>60</v>
      </c>
      <c r="B9" s="18">
        <f>B8*(1+Assumptions!B12)/(Assumptions!B26-Assumptions!B12)</f>
        <v>16339591032.099058</v>
      </c>
    </row>
    <row r="10" spans="1:2" x14ac:dyDescent="0.25">
      <c r="A10" t="s">
        <v>61</v>
      </c>
      <c r="B10" s="18">
        <f>B9/(1+Assumptions!B26)^(5-0.5*Assumptions!B32)</f>
        <v>11720471582.50864</v>
      </c>
    </row>
    <row r="11" spans="1:2" x14ac:dyDescent="0.25">
      <c r="A11" t="s">
        <v>62</v>
      </c>
      <c r="B11" s="18">
        <f>Forecast!B17+B10</f>
        <v>15277455057.891232</v>
      </c>
    </row>
    <row r="12" spans="1:2" x14ac:dyDescent="0.25">
      <c r="A12" t="s">
        <v>63</v>
      </c>
      <c r="B12" s="18">
        <f>-Assumptions!B30</f>
        <v>-2770000000</v>
      </c>
    </row>
    <row r="13" spans="1:2" x14ac:dyDescent="0.25">
      <c r="A13" t="s">
        <v>64</v>
      </c>
      <c r="B13" s="18">
        <f>B11+B12</f>
        <v>12507455057.891232</v>
      </c>
    </row>
    <row r="14" spans="1:2" x14ac:dyDescent="0.25">
      <c r="A14" s="19" t="s">
        <v>65</v>
      </c>
      <c r="B14" s="24">
        <f>B13/Assumptions!B31</f>
        <v>14.328540513219762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1851006834.0848224</v>
      </c>
    </row>
    <row r="18" spans="1:2" x14ac:dyDescent="0.25">
      <c r="A18" t="s">
        <v>60</v>
      </c>
      <c r="B18" s="18">
        <f>B17*Assumptions!B13</f>
        <v>14707793691.017488</v>
      </c>
    </row>
    <row r="19" spans="1:2" x14ac:dyDescent="0.25">
      <c r="A19" t="s">
        <v>61</v>
      </c>
      <c r="B19" s="18">
        <f>B18/(1+Assumptions!B26)^(5-0.5*Assumptions!B32)</f>
        <v>10549975067.20493</v>
      </c>
    </row>
    <row r="20" spans="1:2" x14ac:dyDescent="0.25">
      <c r="A20" t="s">
        <v>62</v>
      </c>
      <c r="B20" s="18">
        <f>Forecast!B17+B19</f>
        <v>14106958542.58752</v>
      </c>
    </row>
    <row r="21" spans="1:2" x14ac:dyDescent="0.25">
      <c r="A21" t="s">
        <v>63</v>
      </c>
      <c r="B21" s="18">
        <f>-Assumptions!B30</f>
        <v>-2770000000</v>
      </c>
    </row>
    <row r="22" spans="1:2" x14ac:dyDescent="0.25">
      <c r="A22" t="s">
        <v>64</v>
      </c>
      <c r="B22" s="18">
        <f>B20+B21</f>
        <v>11336958542.58752</v>
      </c>
    </row>
    <row r="23" spans="1:2" x14ac:dyDescent="0.25">
      <c r="A23" s="19" t="s">
        <v>65</v>
      </c>
      <c r="B23" s="25">
        <f>B22/Assumptions!B31</f>
        <v>12.987619705390815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1027.5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1069.811820338527</v>
      </c>
    </row>
    <row r="29" spans="1:2" x14ac:dyDescent="0.25">
      <c r="A29" s="19" t="s">
        <v>73</v>
      </c>
      <c r="B29" s="12">
        <f>B28/B26-1</f>
        <v>0.041179387190780625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0.056628</v>
      </c>
      <c r="B5" s="31">
        <v>22.368094460278687</v>
      </c>
      <c r="C5" s="31">
        <v>23.48918263246546</v>
      </c>
      <c r="D5" s="31">
        <v>24.94313830876202</v>
      </c>
      <c r="E5" s="31">
        <v>26.917471349527663</v>
      </c>
      <c r="F5" s="31">
        <v>29.773087084290587</v>
      </c>
    </row>
    <row r="6" spans="1:6" x14ac:dyDescent="0.25">
      <c r="A6" s="30">
        <v>0.066628</v>
      </c>
      <c r="B6" s="31">
        <v>17.436896079146933</v>
      </c>
      <c r="C6" s="31">
        <v>17.857511377383045</v>
      </c>
      <c r="D6" s="31">
        <v>18.363443014563778</v>
      </c>
      <c r="E6" s="31">
        <v>18.989629974094466</v>
      </c>
      <c r="F6" s="31">
        <v>19.79310494331699</v>
      </c>
    </row>
    <row r="7" spans="1:6" x14ac:dyDescent="0.25">
      <c r="A7" s="30">
        <v>0.076628</v>
      </c>
      <c r="B7" s="31">
        <v>14.107743092661304</v>
      </c>
      <c r="C7" s="31">
        <v>14.21398362789326</v>
      </c>
      <c r="D7" s="32">
        <v>14.328644404784484</v>
      </c>
      <c r="E7" s="31">
        <v>14.454434173975992</v>
      </c>
      <c r="F7" s="31">
        <v>14.59536309412311</v>
      </c>
    </row>
    <row r="8" spans="1:6" x14ac:dyDescent="0.25">
      <c r="A8" s="30">
        <v>0.086628</v>
      </c>
      <c r="B8" s="31">
        <v>11.938708691682894</v>
      </c>
      <c r="C8" s="31">
        <v>11.993529227152091</v>
      </c>
      <c r="D8" s="31">
        <v>12.048349762621285</v>
      </c>
      <c r="E8" s="31">
        <v>12.103170298090479</v>
      </c>
      <c r="F8" s="31">
        <v>12.157990833559673</v>
      </c>
    </row>
    <row r="9" spans="1:6" x14ac:dyDescent="0.25">
      <c r="A9" s="30">
        <v>0.096628</v>
      </c>
      <c r="B9" s="31">
        <v>10.29618655144409</v>
      </c>
      <c r="C9" s="31">
        <v>10.343348918706841</v>
      </c>
      <c r="D9" s="31">
        <v>10.390511285969593</v>
      </c>
      <c r="E9" s="31">
        <v>10.437673653232345</v>
      </c>
      <c r="F9" s="31">
        <v>10.484836020495095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6164000000</v>
      </c>
      <c r="C5" s="18">
        <v>5810000000</v>
      </c>
      <c r="D5" s="18">
        <v>5549000000</v>
      </c>
      <c r="E5" s="18">
        <v>5215000000</v>
      </c>
      <c r="F5" s="8" t="s">
        <v>84</v>
      </c>
    </row>
    <row r="6" spans="1:6" x14ac:dyDescent="0.25">
      <c r="A6" t="s">
        <v>44</v>
      </c>
      <c r="B6" s="18">
        <v>857000000</v>
      </c>
      <c r="C6" s="18">
        <v>860000000</v>
      </c>
      <c r="D6" s="18">
        <v>620000000</v>
      </c>
      <c r="E6" s="18">
        <v>634000000</v>
      </c>
      <c r="F6" s="8" t="s">
        <v>85</v>
      </c>
    </row>
    <row r="7" spans="1:6" x14ac:dyDescent="0.25">
      <c r="A7" t="s">
        <v>86</v>
      </c>
      <c r="B7" s="18">
        <v>574000000</v>
      </c>
      <c r="C7" s="18">
        <v>555000000</v>
      </c>
      <c r="D7" s="18">
        <v>527000000</v>
      </c>
      <c r="E7" s="18">
        <v>548000000</v>
      </c>
      <c r="F7" s="8" t="s">
        <v>87</v>
      </c>
    </row>
    <row r="8" spans="1:6" x14ac:dyDescent="0.25">
      <c r="A8" t="s">
        <v>88</v>
      </c>
      <c r="B8" s="18">
        <v>433000000</v>
      </c>
      <c r="C8" s="18">
        <v>381000000</v>
      </c>
      <c r="D8" s="18">
        <v>427000000</v>
      </c>
      <c r="E8" s="18">
        <v>358000000</v>
      </c>
      <c r="F8" s="8" t="s">
        <v>89</v>
      </c>
    </row>
    <row r="9" spans="1:6" x14ac:dyDescent="0.25">
      <c r="A9" t="s">
        <v>90</v>
      </c>
      <c r="B9" s="18">
        <v>-127000000</v>
      </c>
      <c r="C9" s="18">
        <v>107000000</v>
      </c>
      <c r="D9" s="18">
        <v>332000000</v>
      </c>
      <c r="E9" s="18">
        <v>535000000</v>
      </c>
      <c r="F9" s="8" t="s">
        <v>91</v>
      </c>
    </row>
    <row r="10" spans="1:6" x14ac:dyDescent="0.25">
      <c r="A10" t="s">
        <v>92</v>
      </c>
      <c r="B10" s="18">
        <v>3327000000</v>
      </c>
      <c r="C10" s="18">
        <v>3321000000</v>
      </c>
      <c r="D10" s="18">
        <v>3084000000</v>
      </c>
      <c r="E10" s="18">
        <v>2872000000</v>
      </c>
      <c r="F10" s="8" t="s">
        <v>93</v>
      </c>
    </row>
    <row r="11" spans="1:6" x14ac:dyDescent="0.25">
      <c r="A11" t="s">
        <v>94</v>
      </c>
      <c r="B11" s="18">
        <v>557000000</v>
      </c>
      <c r="C11" s="18">
        <v>619000000</v>
      </c>
      <c r="D11" s="18">
        <v>302000000</v>
      </c>
      <c r="E11" s="18">
        <v>350000000</v>
      </c>
      <c r="F11" s="8" t="s">
        <v>95</v>
      </c>
    </row>
    <row r="12" spans="1:6" x14ac:dyDescent="0.25">
      <c r="A12" t="s">
        <v>32</v>
      </c>
      <c r="B12" s="34">
        <v>872905028</v>
      </c>
      <c r="C12" s="34">
        <v>876595745</v>
      </c>
      <c r="D12" s="34">
        <v>873754153</v>
      </c>
      <c r="E12" s="34">
        <v>892000000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2026-09-19T01:04:52Z</dcterms:modified>
</cp:coreProperties>
</file>