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<sst xmlns="http://schemas.openxmlformats.org/spreadsheetml/2006/main" count="111" uniqueCount="99">
  <si>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Snap-on Incorporated (SNA)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</si>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</sst>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0.02113673668415572</v>
      </c>
    </row>
    <row r="7" spans="1:2" x14ac:dyDescent="0.25">
      <c r="A7" t="s">
        <v>5</v>
      </c>
      <c r="B7" s="6">
        <v>0.25668652599086106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0.019604604679654757</v>
      </c>
    </row>
    <row r="10" spans="1:2" x14ac:dyDescent="0.25">
      <c r="A10" t="s">
        <v>8</v>
      </c>
      <c r="B10" s="6">
        <v>0.016767586869159377</v>
      </c>
    </row>
    <row r="11" spans="1:2" x14ac:dyDescent="0.25">
      <c r="A11" t="s">
        <v>9</v>
      </c>
      <c r="B11" s="6">
        <v>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13.26437366989202</v>
      </c>
    </row>
    <row r="14" spans="1:3" x14ac:dyDescent="0.25">
      <c r="A14" t="s">
        <v>12</v>
      </c>
      <c r="B14" s="6">
        <v>0.16315331274611566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0.80704</v>
      </c>
      <c r="C19" s="8" t="s">
        <v>19</v>
      </c>
    </row>
    <row r="20" spans="1:2" x14ac:dyDescent="0.25">
      <c r="A20" t="s">
        <v>20</v>
      </c>
      <c r="B20" s="10">
        <f>B17+B19*B18</f>
        <v>0.09436720000000001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19250249728</v>
      </c>
    </row>
    <row r="23" spans="1:2" x14ac:dyDescent="0.25">
      <c r="A23" t="s">
        <v>24</v>
      </c>
      <c r="B23" s="11">
        <v>1291900000</v>
      </c>
    </row>
    <row r="24" spans="1:2" x14ac:dyDescent="0.25">
      <c r="A24" t="s">
        <v>25</v>
      </c>
      <c r="B24" s="10">
        <f>B22/(B22+B23)</f>
        <v>0.937109795366788</v>
      </c>
    </row>
    <row r="25" spans="1:2" x14ac:dyDescent="0.25">
      <c r="A25" t="s">
        <v>26</v>
      </c>
      <c r="B25" s="10">
        <f>1-B24</f>
        <v>0.06289020463321204</v>
      </c>
    </row>
    <row r="26" spans="1:2" x14ac:dyDescent="0.25">
      <c r="A26" t="s">
        <v>27</v>
      </c>
      <c r="B26" s="12">
        <f>B24*B20+B25*B21*(1-B8)</f>
        <v>0.09091559689911544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5156100000</v>
      </c>
      <c r="C29" s="8" t="s">
        <v>30</v>
      </c>
    </row>
    <row r="30" spans="1:2" x14ac:dyDescent="0.25">
      <c r="A30" t="s">
        <v>31</v>
      </c>
      <c r="B30" s="11">
        <v>-332600000</v>
      </c>
    </row>
    <row r="31" spans="1:2" x14ac:dyDescent="0.25">
      <c r="A31" t="s">
        <v>32</v>
      </c>
      <c r="B31" s="13">
        <v>53000000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0.02113673668415572</v>
      </c>
      <c r="C5" s="10">
        <f>Assumptions!B6</f>
        <v>0.02113673668415572</v>
      </c>
      <c r="D5" s="10">
        <f>Assumptions!B6</f>
        <v>0.02113673668415572</v>
      </c>
      <c r="E5" s="10">
        <f>Assumptions!B6</f>
        <v>0.02113673668415572</v>
      </c>
      <c r="F5" s="10">
        <f>Assumptions!B6</f>
        <v>0.02113673668415572</v>
      </c>
    </row>
    <row r="6" spans="1:6" x14ac:dyDescent="0.25">
      <c r="A6" t="s">
        <v>43</v>
      </c>
      <c r="B6" s="18">
        <f>Assumptions!B29*(1+B5)</f>
        <v>5265083128.017176</v>
      </c>
      <c r="C6" s="18">
        <f>B6*(1+C5)</f>
        <v>5376369803.714266</v>
      </c>
      <c r="D6" s="18">
        <f>C6*(1+D5)</f>
        <v>5490008716.572021</v>
      </c>
      <c r="E6" s="18">
        <f>D6*(1+E5)</f>
        <v>5606049585.207923</v>
      </c>
      <c r="F6" s="18">
        <f>E6*(1+F5)</f>
        <v>5724543179.128783</v>
      </c>
    </row>
    <row r="7" spans="1:6" x14ac:dyDescent="0.25">
      <c r="A7" t="s">
        <v>5</v>
      </c>
      <c r="B7" s="10">
        <f>Assumptions!B7</f>
        <v>0.25668652599086106</v>
      </c>
      <c r="C7" s="10">
        <f>Assumptions!B7</f>
        <v>0.25668652599086106</v>
      </c>
      <c r="D7" s="10">
        <f>Assumptions!B7</f>
        <v>0.25668652599086106</v>
      </c>
      <c r="E7" s="10">
        <f>Assumptions!B7</f>
        <v>0.25668652599086106</v>
      </c>
      <c r="F7" s="10">
        <f>Assumptions!B7</f>
        <v>0.25668652599086106</v>
      </c>
    </row>
    <row r="8" spans="1:6" x14ac:dyDescent="0.25">
      <c r="A8" t="s">
        <v>44</v>
      </c>
      <c r="B8" s="18">
        <f>B6*B7</f>
        <v>1351475897.1838248</v>
      </c>
      <c r="C8" s="18">
        <f>C6*C7</f>
        <v>1380041687.3575826</v>
      </c>
      <c r="D8" s="18">
        <f>D6*D7</f>
        <v>1409211265.1164176</v>
      </c>
      <c r="E8" s="18">
        <f>E6*E7</f>
        <v>1438997392.5595293</v>
      </c>
      <c r="F8" s="18">
        <f>F6*F7</f>
        <v>1469413101.5352468</v>
      </c>
    </row>
    <row r="9" spans="1:6" x14ac:dyDescent="0.25">
      <c r="A9" t="s">
        <v>45</v>
      </c>
      <c r="B9" s="18">
        <f>B8*(1-Assumptions!B8)</f>
        <v>1067665958.7752216</v>
      </c>
      <c r="C9" s="18">
        <f>C8*(1-Assumptions!B8)</f>
        <v>1090232933.0124903</v>
      </c>
      <c r="D9" s="18">
        <f>D8*(1-Assumptions!B8)</f>
        <v>1113276899.4419699</v>
      </c>
      <c r="E9" s="18">
        <f>E8*(1-Assumptions!B8)</f>
        <v>1136807940.122028</v>
      </c>
      <c r="F9" s="18">
        <f>F8*(1-Assumptions!B8)</f>
        <v>1160836350.212845</v>
      </c>
    </row>
    <row r="10" spans="1:6" x14ac:dyDescent="0.25">
      <c r="A10" t="s">
        <v>46</v>
      </c>
      <c r="B10" s="18">
        <f>B6*Assumptions!B9</f>
        <v>103219873.33029683</v>
      </c>
      <c r="C10" s="18">
        <f>C6*Assumptions!B9</f>
        <v>105401604.61345123</v>
      </c>
      <c r="D10" s="18">
        <f>D6*Assumptions!B9</f>
        <v>107629450.57625324</v>
      </c>
      <c r="E10" s="18">
        <f>E6*Assumptions!B9</f>
        <v>109904385.93254386</v>
      </c>
      <c r="F10" s="18">
        <f>F6*Assumptions!B9</f>
        <v>112227405.99843386</v>
      </c>
    </row>
    <row r="11" spans="1:6" x14ac:dyDescent="0.25">
      <c r="A11" t="s">
        <v>47</v>
      </c>
      <c r="B11" s="18">
        <f>-B6*Assumptions!B10</f>
        <v>-88282738.72237338</v>
      </c>
      <c r="C11" s="18">
        <f>-C6*Assumptions!B10</f>
        <v>-90148747.7245043</v>
      </c>
      <c r="D11" s="18">
        <f>-D6*Assumptions!B10</f>
        <v>-92054198.06756353</v>
      </c>
      <c r="E11" s="18">
        <f>-E6*Assumptions!B10</f>
        <v>-93999923.41278875</v>
      </c>
      <c r="F11" s="18">
        <f>-F6*Assumptions!B10</f>
        <v>-95986775.04229566</v>
      </c>
    </row>
    <row r="12" spans="1:6" x14ac:dyDescent="0.25">
      <c r="A12" t="s">
        <v>48</v>
      </c>
      <c r="B12" s="18">
        <f>-(B6-Assumptions!B29)*Assumptions!B11</f>
        <v>-108983128.01717567</v>
      </c>
      <c r="C12" s="18">
        <f>-(C6-B6)*Assumptions!B11</f>
        <v>-111286675.69709015</v>
      </c>
      <c r="D12" s="18">
        <f>-(D6-C6)*Assumptions!B11</f>
        <v>-113638912.8577547</v>
      </c>
      <c r="E12" s="18">
        <f>-(E6-D6)*Assumptions!B11</f>
        <v>-116040868.6359024</v>
      </c>
      <c r="F12" s="18">
        <f>-(F6-E6)*Assumptions!B11</f>
        <v>-118493593.92086029</v>
      </c>
    </row>
    <row r="13" spans="1:6" x14ac:dyDescent="0.25">
      <c r="A13" s="19" t="s">
        <v>49</v>
      </c>
      <c r="B13" s="20">
        <f>B9+B10+B11+B12</f>
        <v>973619965.3659692</v>
      </c>
      <c r="C13" s="20">
        <f>C9+C10+C11+C12</f>
        <v>994199114.2043471</v>
      </c>
      <c r="D13" s="20">
        <f>D9+D10+D11+D12</f>
        <v>1015213239.0929048</v>
      </c>
      <c r="E13" s="20">
        <f>E9+E10+E11+E12</f>
        <v>1036671534.0058808</v>
      </c>
      <c r="F13" s="20">
        <f>F9+F10+F11+F12</f>
        <v>1058583387.2481229</v>
      </c>
    </row>
    <row r="14" spans="1:6" x14ac:dyDescent="0.25">
      <c r="A14" t="s">
        <v>50</v>
      </c>
      <c r="B14" s="21">
        <f>1/(1+Assumptions!$B$26)^(1-0.5*Assumptions!$B$32)</f>
        <v>0.9574242528056357</v>
      </c>
      <c r="C14" s="21">
        <f>1/(1+Assumptions!$B$26)^(2-0.5*Assumptions!$B$32)</f>
        <v>0.8776336643522894</v>
      </c>
      <c r="D14" s="21">
        <f>1/(1+Assumptions!$B$26)^(3-0.5*Assumptions!$B$32)</f>
        <v>0.8044927278030753</v>
      </c>
      <c r="E14" s="21">
        <f>1/(1+Assumptions!$B$26)^(4-0.5*Assumptions!$B$32)</f>
        <v>0.7374472691469571</v>
      </c>
      <c r="F14" s="21">
        <f>1/(1+Assumptions!$B$26)^(5-0.5*Assumptions!$B$32)</f>
        <v>0.6759892985700471</v>
      </c>
    </row>
    <row r="15" spans="1:6" x14ac:dyDescent="0.25">
      <c r="A15" s="19" t="s">
        <v>51</v>
      </c>
      <c r="B15" s="20">
        <f>B13*B14</f>
        <v>932167367.857162</v>
      </c>
      <c r="C15" s="20">
        <f>C13*C14</f>
        <v>872542611.6949614</v>
      </c>
      <c r="D15" s="20">
        <f>D13*D14</f>
        <v>816731668.0196468</v>
      </c>
      <c r="E15" s="20">
        <f>E13*E14</f>
        <v>764490591.7550237</v>
      </c>
      <c r="F15" s="20">
        <f>F13*F14</f>
        <v>715591041.4237632</v>
      </c>
    </row>
    <row r="17" spans="1:2" x14ac:dyDescent="0.25">
      <c r="A17" s="22" t="s">
        <v>52</v>
      </c>
      <c r="B17" s="23">
        <f>SUM(B15:F15)</f>
        <v>4101523280.750557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1058583387.2481229</v>
      </c>
    </row>
    <row r="5" spans="1:2" x14ac:dyDescent="0.25">
      <c r="A5" t="s">
        <v>56</v>
      </c>
      <c r="B5" s="18">
        <f>IF(Assumptions!$B$33=0,B4,B4-Forecast!F11-Forecast!F10-Forecast!F12)</f>
        <v>1184111913.222951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0.15323010963867295</v>
      </c>
    </row>
    <row r="7" spans="1:2" x14ac:dyDescent="0.25">
      <c r="A7" t="s">
        <v>58</v>
      </c>
      <c r="B7" s="18">
        <f>-MAX(Forecast!F9,0)*B6</f>
        <v>-181441598.28761157</v>
      </c>
    </row>
    <row r="8" spans="1:2" x14ac:dyDescent="0.25">
      <c r="A8" t="s">
        <v>59</v>
      </c>
      <c r="B8" s="18">
        <f>IF(OR(Assumptions!$B$33=0,Assumptions!B12&lt;=0),B5,MAX(B5+B7,0))</f>
        <v>1002670314.9353393</v>
      </c>
    </row>
    <row r="9" spans="1:2" x14ac:dyDescent="0.25">
      <c r="A9" t="s">
        <v>60</v>
      </c>
      <c r="B9" s="18">
        <f>B8*(1+Assumptions!B12)/(Assumptions!B26-Assumptions!B12)</f>
        <v>15591713056.648579</v>
      </c>
    </row>
    <row r="10" spans="1:2" x14ac:dyDescent="0.25">
      <c r="A10" t="s">
        <v>61</v>
      </c>
      <c r="B10" s="18">
        <f>B9/(1+Assumptions!B26)^(5-0.5*Assumptions!B32)</f>
        <v>10539831172.669317</v>
      </c>
    </row>
    <row r="11" spans="1:2" x14ac:dyDescent="0.25">
      <c r="A11" t="s">
        <v>62</v>
      </c>
      <c r="B11" s="18">
        <f>Forecast!B17+B10</f>
        <v>14641354453.419874</v>
      </c>
    </row>
    <row r="12" spans="1:2" x14ac:dyDescent="0.25">
      <c r="A12" t="s">
        <v>63</v>
      </c>
      <c r="B12" s="18">
        <f>-Assumptions!B30</f>
        <v>332600000</v>
      </c>
    </row>
    <row r="13" spans="1:2" x14ac:dyDescent="0.25">
      <c r="A13" t="s">
        <v>64</v>
      </c>
      <c r="B13" s="18">
        <f>B11+B12</f>
        <v>14973954453.419874</v>
      </c>
    </row>
    <row r="14" spans="1:2" x14ac:dyDescent="0.25">
      <c r="A14" s="19" t="s">
        <v>65</v>
      </c>
      <c r="B14" s="24">
        <f>B13/Assumptions!B31</f>
        <v>282.5274425173561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1581640507.5336807</v>
      </c>
    </row>
    <row r="18" spans="1:2" x14ac:dyDescent="0.25">
      <c r="A18" t="s">
        <v>60</v>
      </c>
      <c r="B18" s="18">
        <f>B17*Assumptions!B13</f>
        <v>20979470703.364407</v>
      </c>
    </row>
    <row r="19" spans="1:2" x14ac:dyDescent="0.25">
      <c r="A19" t="s">
        <v>61</v>
      </c>
      <c r="B19" s="18">
        <f>B18/(1+Assumptions!B26)^(5-0.5*Assumptions!B32)</f>
        <v>14181897685.138157</v>
      </c>
    </row>
    <row r="20" spans="1:2" x14ac:dyDescent="0.25">
      <c r="A20" t="s">
        <v>62</v>
      </c>
      <c r="B20" s="18">
        <f>Forecast!B17+B19</f>
        <v>18283420965.888714</v>
      </c>
    </row>
    <row r="21" spans="1:2" x14ac:dyDescent="0.25">
      <c r="A21" t="s">
        <v>63</v>
      </c>
      <c r="B21" s="18">
        <f>-Assumptions!B30</f>
        <v>332600000</v>
      </c>
    </row>
    <row r="22" spans="1:2" x14ac:dyDescent="0.25">
      <c r="A22" t="s">
        <v>64</v>
      </c>
      <c r="B22" s="18">
        <f>B20+B21</f>
        <v>18616020965.888714</v>
      </c>
    </row>
    <row r="23" spans="1:2" x14ac:dyDescent="0.25">
      <c r="A23" s="19" t="s">
        <v>65</v>
      </c>
      <c r="B23" s="25">
        <f>B22/Assumptions!B31</f>
        <v>351.24567860167383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372.15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282.5274425173561</v>
      </c>
    </row>
    <row r="29" spans="1:2" x14ac:dyDescent="0.25">
      <c r="A29" s="19" t="s">
        <v>73</v>
      </c>
      <c r="B29" s="12">
        <f>B28/B26-1</f>
        <v>-0.240823747098331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0.070916</v>
      </c>
      <c r="B5" s="31">
        <v>357.71604782244685</v>
      </c>
      <c r="C5" s="31">
        <v>375.67180368759614</v>
      </c>
      <c r="D5" s="31">
        <v>397.42857193361993</v>
      </c>
      <c r="E5" s="31">
        <v>424.3798217587076</v>
      </c>
      <c r="F5" s="31">
        <v>458.6949824892305</v>
      </c>
    </row>
    <row r="6" spans="1:6" x14ac:dyDescent="0.25">
      <c r="A6" s="30">
        <v>0.080916</v>
      </c>
      <c r="B6" s="31">
        <v>305.4874683696725</v>
      </c>
      <c r="C6" s="31">
        <v>316.6497580805773</v>
      </c>
      <c r="D6" s="31">
        <v>329.72203197612794</v>
      </c>
      <c r="E6" s="31">
        <v>345.2669768889442</v>
      </c>
      <c r="F6" s="31">
        <v>364.0923736635902</v>
      </c>
    </row>
    <row r="7" spans="1:6" x14ac:dyDescent="0.25">
      <c r="A7" s="30">
        <v>0.090916</v>
      </c>
      <c r="B7" s="31">
        <v>267.02245622732096</v>
      </c>
      <c r="C7" s="31">
        <v>274.2602350471793</v>
      </c>
      <c r="D7" s="32">
        <v>282.52582800467013</v>
      </c>
      <c r="E7" s="31">
        <v>292.07232479814013</v>
      </c>
      <c r="F7" s="31">
        <v>303.2433400913651</v>
      </c>
    </row>
    <row r="8" spans="1:6" x14ac:dyDescent="0.25">
      <c r="A8" s="30">
        <v>0.100916</v>
      </c>
      <c r="B8" s="31">
        <v>237.5146967214078</v>
      </c>
      <c r="C8" s="31">
        <v>242.3370968782415</v>
      </c>
      <c r="D8" s="31">
        <v>247.7362109192553</v>
      </c>
      <c r="E8" s="31">
        <v>253.8340241265112</v>
      </c>
      <c r="F8" s="31">
        <v>260.78953412567853</v>
      </c>
    </row>
    <row r="9" spans="1:6" x14ac:dyDescent="0.25">
      <c r="A9" s="30">
        <v>0.110916</v>
      </c>
      <c r="B9" s="31">
        <v>214.16228365835488</v>
      </c>
      <c r="C9" s="31">
        <v>217.42707603805397</v>
      </c>
      <c r="D9" s="31">
        <v>221.0222243514542</v>
      </c>
      <c r="E9" s="31">
        <v>225.0089691320164</v>
      </c>
      <c r="F9" s="31">
        <v>229.46468467511227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5156100000</v>
      </c>
      <c r="C5" s="18">
        <v>5108400000</v>
      </c>
      <c r="D5" s="18">
        <v>5108300000</v>
      </c>
      <c r="E5" s="18">
        <v>4842500000</v>
      </c>
      <c r="F5" s="8" t="s">
        <v>84</v>
      </c>
    </row>
    <row r="6" spans="1:6" x14ac:dyDescent="0.25">
      <c r="A6" t="s">
        <v>44</v>
      </c>
      <c r="B6" s="18">
        <v>1327700000</v>
      </c>
      <c r="C6" s="18">
        <v>1345700000</v>
      </c>
      <c r="D6" s="18">
        <v>1310400000</v>
      </c>
      <c r="E6" s="18">
        <v>1207200000</v>
      </c>
      <c r="F6" s="8" t="s">
        <v>85</v>
      </c>
    </row>
    <row r="7" spans="1:6" x14ac:dyDescent="0.25">
      <c r="A7" t="s">
        <v>86</v>
      </c>
      <c r="B7" s="18">
        <v>98500000</v>
      </c>
      <c r="C7" s="18">
        <v>98000000</v>
      </c>
      <c r="D7" s="18">
        <v>99300000</v>
      </c>
      <c r="E7" s="18">
        <v>100200000</v>
      </c>
      <c r="F7" s="8" t="s">
        <v>87</v>
      </c>
    </row>
    <row r="8" spans="1:6" x14ac:dyDescent="0.25">
      <c r="A8" t="s">
        <v>88</v>
      </c>
      <c r="B8" s="18">
        <v>76000000</v>
      </c>
      <c r="C8" s="18">
        <v>83500000</v>
      </c>
      <c r="D8" s="18">
        <v>95000000</v>
      </c>
      <c r="E8" s="18">
        <v>84200000</v>
      </c>
      <c r="F8" s="8" t="s">
        <v>89</v>
      </c>
    </row>
    <row r="9" spans="1:6" x14ac:dyDescent="0.25">
      <c r="A9" t="s">
        <v>90</v>
      </c>
      <c r="B9" s="18">
        <v>168700000</v>
      </c>
      <c r="C9" s="18">
        <v>63100000</v>
      </c>
      <c r="D9" s="18">
        <v>81100000</v>
      </c>
      <c r="E9" s="18">
        <v>434000000</v>
      </c>
      <c r="F9" s="8" t="s">
        <v>91</v>
      </c>
    </row>
    <row r="10" spans="1:6" x14ac:dyDescent="0.25">
      <c r="A10" t="s">
        <v>92</v>
      </c>
      <c r="B10" s="18">
        <v>1291900000</v>
      </c>
      <c r="C10" s="18">
        <v>1292800000</v>
      </c>
      <c r="D10" s="18">
        <v>1278600000</v>
      </c>
      <c r="E10" s="18">
        <v>1265100000</v>
      </c>
      <c r="F10" s="8" t="s">
        <v>93</v>
      </c>
    </row>
    <row r="11" spans="1:6" x14ac:dyDescent="0.25">
      <c r="A11" t="s">
        <v>94</v>
      </c>
      <c r="B11" s="18">
        <v>1624500000</v>
      </c>
      <c r="C11" s="18">
        <v>1360500000</v>
      </c>
      <c r="D11" s="18">
        <v>1001500000</v>
      </c>
      <c r="E11" s="18">
        <v>757200000</v>
      </c>
      <c r="F11" s="8" t="s">
        <v>95</v>
      </c>
    </row>
    <row r="12" spans="1:6" x14ac:dyDescent="0.25">
      <c r="A12" t="s">
        <v>32</v>
      </c>
      <c r="B12" s="34">
        <v>53000000</v>
      </c>
      <c r="C12" s="34">
        <v>53500000</v>
      </c>
      <c r="D12" s="34">
        <v>53900000</v>
      </c>
      <c r="E12" s="34">
        <v>54200000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2026-09-19T00:07:18Z</dcterms:modified>
</cp:coreProperties>
</file>