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<sst xmlns="http://schemas.openxmlformats.org/spreadsheetml/2006/main" count="119" uniqueCount="106">
  <si>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Snap-on Incorporated (SNA)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</si>
  <si>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</si>
  <si>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</si>
  <si>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</si>
  <si>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</si>
  <si>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</si>
  <si>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</si>
  <si>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</si>
  <si>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</si>
  <si>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</si>
  <si>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</si>
  <si>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</si>
  <si>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</si>
  <si>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</si>
  <si>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</si>
  <si>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</si>
  <si>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</si>
  <si>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</si>
  <si>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</si>
  <si>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</si>
  <si>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</si>
  <si>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</si>
  <si>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</si>
  <si>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</si>
  <si>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26.3x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</si>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</sst>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-0.05541844417292141</v>
      </c>
    </row>
    <row r="7" spans="1:2" x14ac:dyDescent="0.25">
      <c r="A7" t="s">
        <v>4</v>
      </c>
      <c r="B7" s="5">
        <v>0.25668652599086106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0.019604604679654757</v>
      </c>
    </row>
    <row r="10" spans="1:3" x14ac:dyDescent="0.25">
      <c r="A10" t="s">
        <v>7</v>
      </c>
      <c r="B10" s="5">
        <v>0.016767586869159377</v>
      </c>
      <c r="C10" s="6" t="s">
        <v>8</v>
      </c>
    </row>
    <row r="11" spans="1:2" x14ac:dyDescent="0.25">
      <c r="A11" t="s">
        <v>9</v>
      </c>
      <c r="B11" s="5">
        <v>0.3082984201837149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12.666295061001263</v>
      </c>
    </row>
    <row r="14" spans="1:3" x14ac:dyDescent="0.25">
      <c r="A14" t="s">
        <v>12</v>
      </c>
      <c r="B14" s="5">
        <v>0.16315331274611566</v>
      </c>
      <c r="C14" s="6" t="s">
        <v>13</v>
      </c>
    </row>
    <row r="15" spans="1:3" x14ac:dyDescent="0.25">
      <c r="A15" t="s">
        <v>14</v>
      </c>
      <c r="B15" s="5">
        <v>0.014457864220975964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0.7989999999999999</v>
      </c>
      <c r="C19" s="6" t="s">
        <v>21</v>
      </c>
    </row>
    <row r="20" spans="1:2" x14ac:dyDescent="0.25">
      <c r="A20" t="s">
        <v>22</v>
      </c>
      <c r="B20" s="9">
        <f>B17+B19*B18</f>
        <v>0.0827377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18397270016</v>
      </c>
    </row>
    <row r="23" spans="1:2" x14ac:dyDescent="0.25">
      <c r="A23" t="s">
        <v>26</v>
      </c>
      <c r="B23" s="10">
        <v>1291900000</v>
      </c>
    </row>
    <row r="24" spans="1:2" x14ac:dyDescent="0.25">
      <c r="A24" t="s">
        <v>27</v>
      </c>
      <c r="B24" s="9">
        <f>B22/(B22+B23)</f>
        <v>0.9343852483903504</v>
      </c>
    </row>
    <row r="25" spans="1:2" x14ac:dyDescent="0.25">
      <c r="A25" t="s">
        <v>28</v>
      </c>
      <c r="B25" s="9">
        <f>1-B24</f>
        <v>0.06561475160964958</v>
      </c>
    </row>
    <row r="26" spans="1:2" x14ac:dyDescent="0.25">
      <c r="A26" t="s">
        <v>29</v>
      </c>
      <c r="B26" s="11">
        <f>B24*B20+B25*B21*(1-B8)</f>
        <v>0.08005306587641602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5156100000</v>
      </c>
      <c r="C29" s="6" t="s">
        <v>32</v>
      </c>
    </row>
    <row r="30" spans="1:2" x14ac:dyDescent="0.25">
      <c r="A30" t="s">
        <v>33</v>
      </c>
      <c r="B30" s="10">
        <v>-332600000</v>
      </c>
    </row>
    <row r="31" spans="1:2" x14ac:dyDescent="0.25">
      <c r="A31" t="s">
        <v>34</v>
      </c>
      <c r="B31" s="12">
        <v>53000000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-0.05541844417292141</v>
      </c>
      <c r="C5" s="5">
        <v>0.03744587542511457</v>
      </c>
      <c r="D5" s="5">
        <v>0.03589014099697525</v>
      </c>
      <c r="E5" s="5">
        <v>0.03433440656883593</v>
      </c>
      <c r="F5" s="5">
        <v>0.03277867214069661</v>
      </c>
      <c r="G5" s="5">
        <v>0.031222937712557287</v>
      </c>
      <c r="H5" s="5">
        <v>0.029667203284417965</v>
      </c>
      <c r="I5" s="5">
        <v>0.028111468856278646</v>
      </c>
      <c r="J5" s="5">
        <v>0.026555734428139324</v>
      </c>
      <c r="K5" s="5">
        <v>0.025</v>
      </c>
    </row>
    <row r="6" spans="1:11" x14ac:dyDescent="0.25">
      <c r="A6" t="s">
        <v>50</v>
      </c>
      <c r="B6" s="18">
        <f>Assumptions!B29*(1+B5)</f>
        <v>4870356960</v>
      </c>
      <c r="C6" s="18">
        <f>B6*(1+C5)</f>
        <v>5052731740</v>
      </c>
      <c r="D6" s="18">
        <f>C6*(1+D5)</f>
        <v>5234074994.568492</v>
      </c>
      <c r="E6" s="18">
        <f>D6*(1+E5)</f>
        <v>5413783853.443785</v>
      </c>
      <c r="F6" s="18">
        <f>E6*(1+F5)</f>
        <v>5591240499.416416</v>
      </c>
      <c r="G6" s="18">
        <f>F6*(1+G5)</f>
        <v>5765815453.265622</v>
      </c>
      <c r="H6" s="18">
        <f>G6*(1+H5)</f>
        <v>5936871072.418093</v>
      </c>
      <c r="I6" s="18">
        <f>H6*(1+I5)</f>
        <v>6103765238.674116</v>
      </c>
      <c r="J6" s="18">
        <f>I6*(1+J5)</f>
        <v>6265855207.364055</v>
      </c>
      <c r="K6" s="18">
        <f>J6*(1+K5)</f>
        <v>6422501587.548156</v>
      </c>
    </row>
    <row r="7" spans="1:11" x14ac:dyDescent="0.25">
      <c r="A7" t="s">
        <v>4</v>
      </c>
      <c r="B7" s="9">
        <f>Assumptions!B7</f>
        <v>0.25668652599086106</v>
      </c>
      <c r="C7" s="9">
        <f>Assumptions!B7</f>
        <v>0.25668652599086106</v>
      </c>
      <c r="D7" s="9">
        <f>Assumptions!B7</f>
        <v>0.25668652599086106</v>
      </c>
      <c r="E7" s="9">
        <f>Assumptions!B7</f>
        <v>0.25668652599086106</v>
      </c>
      <c r="F7" s="9">
        <f>Assumptions!B7</f>
        <v>0.25668652599086106</v>
      </c>
      <c r="G7" s="9">
        <f>Assumptions!B7</f>
        <v>0.25668652599086106</v>
      </c>
      <c r="H7" s="9">
        <f>Assumptions!B7</f>
        <v>0.25668652599086106</v>
      </c>
      <c r="I7" s="9">
        <f>Assumptions!B7</f>
        <v>0.25668652599086106</v>
      </c>
      <c r="J7" s="9">
        <f>Assumptions!B7</f>
        <v>0.25668652599086106</v>
      </c>
      <c r="K7" s="9">
        <f>Assumptions!B7</f>
        <v>0.25668652599086106</v>
      </c>
    </row>
    <row r="8" spans="1:11" x14ac:dyDescent="0.25">
      <c r="A8" t="s">
        <v>51</v>
      </c>
      <c r="B8" s="18">
        <f>B6*B7</f>
        <v>1250155008.397811</v>
      </c>
      <c r="C8" s="18">
        <f>C6*C7</f>
        <v>1296968157.1043587</v>
      </c>
      <c r="D8" s="18">
        <f>D6*D7</f>
        <v>1343516527.131421</v>
      </c>
      <c r="E8" s="18">
        <f>E6*E7</f>
        <v>1389645369.805902</v>
      </c>
      <c r="F8" s="18">
        <f>F6*F7</f>
        <v>1435196099.774607</v>
      </c>
      <c r="G8" s="18">
        <f>G6*G7</f>
        <v>1480007138.2031744</v>
      </c>
      <c r="H8" s="18">
        <f>H6*H7</f>
        <v>1523914810.8346379</v>
      </c>
      <c r="I8" s="18">
        <f>I6*I7</f>
        <v>1566754294.5790377</v>
      </c>
      <c r="J8" s="18">
        <f>J6*J7</f>
        <v>1608360605.5400255</v>
      </c>
      <c r="K8" s="18">
        <f>K6*K7</f>
        <v>1648569620.6785262</v>
      </c>
    </row>
    <row r="9" spans="1:11" x14ac:dyDescent="0.25">
      <c r="A9" t="s">
        <v>52</v>
      </c>
      <c r="B9" s="18">
        <f>B8*(1-Assumptions!B8)</f>
        <v>987622456.6342707</v>
      </c>
      <c r="C9" s="18">
        <f>C8*(1-Assumptions!B8)</f>
        <v>1024604844.1124434</v>
      </c>
      <c r="D9" s="18">
        <f>D8*(1-Assumptions!B8)</f>
        <v>1061378056.4338228</v>
      </c>
      <c r="E9" s="18">
        <f>E8*(1-Assumptions!B8)</f>
        <v>1097819842.1466627</v>
      </c>
      <c r="F9" s="18">
        <f>F8*(1-Assumptions!B8)</f>
        <v>1133804918.8219395</v>
      </c>
      <c r="G9" s="18">
        <f>G8*(1-Assumptions!B8)</f>
        <v>1169205639.180508</v>
      </c>
      <c r="H9" s="18">
        <f>H8*(1-Assumptions!B8)</f>
        <v>1203892700.559364</v>
      </c>
      <c r="I9" s="18">
        <f>I8*(1-Assumptions!B8)</f>
        <v>1237735892.71744</v>
      </c>
      <c r="J9" s="18">
        <f>J8*(1-Assumptions!B8)</f>
        <v>1270604878.3766203</v>
      </c>
      <c r="K9" s="18">
        <f>K8*(1-Assumptions!B8)</f>
        <v>1302370000.3360357</v>
      </c>
    </row>
    <row r="10" spans="1:11" x14ac:dyDescent="0.25">
      <c r="A10" t="s">
        <v>53</v>
      </c>
      <c r="B10" s="18">
        <f>B6*Assumptions!B9</f>
        <v>95481422.84960511</v>
      </c>
      <c r="C10" s="18">
        <f>C6*Assumptions!B9</f>
        <v>99056808.31504412</v>
      </c>
      <c r="D10" s="18">
        <f>D6*Assumptions!B9</f>
        <v>102611971.1321814</v>
      </c>
      <c r="E10" s="18">
        <f>E6*Assumptions!B9</f>
        <v>106135092.2678634</v>
      </c>
      <c r="F10" s="18">
        <f>F6*Assumptions!B9</f>
        <v>109614059.65993427</v>
      </c>
      <c r="G10" s="18">
        <f>G6*Assumptions!B9</f>
        <v>113036532.61711693</v>
      </c>
      <c r="H10" s="18">
        <f>H6*Assumptions!B9</f>
        <v>116390010.4088347</v>
      </c>
      <c r="I10" s="18">
        <f>I6*Assumptions!B9</f>
        <v>119661904.56162462</v>
      </c>
      <c r="J10" s="18">
        <f>J6*Assumptions!B9</f>
        <v>122839614.32032847</v>
      </c>
      <c r="K10" s="18">
        <f>K6*Assumptions!B9</f>
        <v>125910604.67833668</v>
      </c>
    </row>
    <row r="11" spans="1:11" x14ac:dyDescent="0.25">
      <c r="A11" t="s">
        <v>54</v>
      </c>
      <c r="B11" s="18">
        <f>-B6*B19</f>
        <v>-81664133.41061498</v>
      </c>
      <c r="C11" s="18">
        <f>-C6*C19</f>
        <v>-101219659.19303879</v>
      </c>
      <c r="D11" s="18">
        <f>-D6*D19</f>
        <v>-121942086.91516338</v>
      </c>
      <c r="E11" s="18">
        <f>-E6*E19</f>
        <v>-143805298.63100585</v>
      </c>
      <c r="F11" s="18">
        <f>-F6*F19</f>
        <v>-166774856.89579317</v>
      </c>
      <c r="G11" s="18">
        <f>-G6*G19</f>
        <v>-190807869.4597957</v>
      </c>
      <c r="H11" s="18">
        <f>-H6*H19</f>
        <v>-215852926.0860375</v>
      </c>
      <c r="I11" s="18">
        <f>-I6*I19</f>
        <v>-241850111.39971146</v>
      </c>
      <c r="J11" s="18">
        <f>-J6*J19</f>
        <v>-268731096.9052305</v>
      </c>
      <c r="K11" s="18">
        <f>-K6*K19</f>
        <v>-296419314.45802796</v>
      </c>
    </row>
    <row r="12" spans="1:11" x14ac:dyDescent="0.25">
      <c r="A12" t="s">
        <v>55</v>
      </c>
      <c r="B12" s="18">
        <f>-(B6-Assumptions!B29)*Assumptions!B11</f>
        <v>88094127.81049205</v>
      </c>
      <c r="C12" s="18">
        <f>-(C6-B6)*Assumptions!B11</f>
        <v>-56225856.55535256</v>
      </c>
      <c r="D12" s="18">
        <f>-(D6-C6)*Assumptions!B11</f>
        <v>-55907838.8944393</v>
      </c>
      <c r="E12" s="18">
        <f>-(E6-D6)*Assumptions!B11</f>
        <v>-55403957.284270935</v>
      </c>
      <c r="F12" s="18">
        <f>-(F6-E6)*Assumptions!B11</f>
        <v>-54709603.60446307</v>
      </c>
      <c r="G12" s="18">
        <f>-(G6-F6)*Assumptions!B11</f>
        <v>-53821182.47535514</v>
      </c>
      <c r="H12" s="18">
        <f>-(H6-G6)*Assumptions!B11</f>
        <v>-52736177.14825389</v>
      </c>
      <c r="I12" s="18">
        <f>-(I6-H6)*Assumptions!B11</f>
        <v>-51453207.79461028</v>
      </c>
      <c r="J12" s="18">
        <f>-(J6-I6)*Assumptions!B11</f>
        <v>-49972081.27473587</v>
      </c>
      <c r="K12" s="18">
        <f>-(K6-J6)*Assumptions!B11</f>
        <v>-48293831.53825595</v>
      </c>
    </row>
    <row r="13" spans="1:11" x14ac:dyDescent="0.25">
      <c r="A13" s="19" t="s">
        <v>56</v>
      </c>
      <c r="B13" s="20">
        <f>B9+B10+B11+B12</f>
        <v>1089533873.8837528</v>
      </c>
      <c r="C13" s="20">
        <f>C9+C10+C11+C12</f>
        <v>966216136.6790962</v>
      </c>
      <c r="D13" s="20">
        <f>D9+D10+D11+D12</f>
        <v>986140101.7564015</v>
      </c>
      <c r="E13" s="20">
        <f>E9+E10+E11+E12</f>
        <v>1004745678.4992492</v>
      </c>
      <c r="F13" s="20">
        <f>F9+F10+F11+F12</f>
        <v>1021934517.9816175</v>
      </c>
      <c r="G13" s="20">
        <f>G9+G10+G11+G12</f>
        <v>1037613119.862474</v>
      </c>
      <c r="H13" s="20">
        <f>H9+H10+H11+H12</f>
        <v>1051693607.7339075</v>
      </c>
      <c r="I13" s="20">
        <f>I9+I10+I11+I12</f>
        <v>1064094478.0847428</v>
      </c>
      <c r="J13" s="20">
        <f>J9+J10+J11+J12</f>
        <v>1074741314.5169823</v>
      </c>
      <c r="K13" s="20">
        <f>K9+K10+K11+K12</f>
        <v>1083567459.0180886</v>
      </c>
    </row>
    <row r="14" spans="1:11" x14ac:dyDescent="0.25">
      <c r="A14" t="s">
        <v>57</v>
      </c>
      <c r="B14" s="21">
        <f>1/(1+Assumptions!$B$26)^(1-0.5*Assumptions!$B$32)</f>
        <v>0.9622268093985705</v>
      </c>
      <c r="C14" s="21">
        <f>1/(1+Assumptions!$B$26)^(2-0.5*Assumptions!$B$32)</f>
        <v>0.8909069746658839</v>
      </c>
      <c r="D14" s="21">
        <f>1/(1+Assumptions!$B$26)^(3-0.5*Assumptions!$B$32)</f>
        <v>0.8248733352216835</v>
      </c>
      <c r="E14" s="21">
        <f>1/(1+Assumptions!$B$26)^(4-0.5*Assumptions!$B$32)</f>
        <v>0.7637340805586573</v>
      </c>
      <c r="F14" s="21">
        <f>1/(1+Assumptions!$B$26)^(5-0.5*Assumptions!$B$32)</f>
        <v>0.707126440994749</v>
      </c>
      <c r="G14" s="21">
        <f>1/(1+Assumptions!$B$26)^(6-0.5*Assumptions!$B$32)</f>
        <v>0.6547145351797569</v>
      </c>
      <c r="H14" s="21">
        <f>1/(1+Assumptions!$B$26)^(7-0.5*Assumptions!$B$32)</f>
        <v>0.6061873771438114</v>
      </c>
      <c r="I14" s="21">
        <f>1/(1+Assumptions!$B$26)^(8-0.5*Assumptions!$B$32)</f>
        <v>0.5612570310625588</v>
      </c>
      <c r="J14" s="21">
        <f>1/(1+Assumptions!$B$26)^(9-0.5*Assumptions!$B$32)</f>
        <v>0.5196569027903486</v>
      </c>
      <c r="K14" s="21">
        <f>1/(1+Assumptions!$B$26)^(10-0.5*Assumptions!$B$32)</f>
        <v>0.48114015802424454</v>
      </c>
    </row>
    <row r="15" spans="1:11" x14ac:dyDescent="0.25">
      <c r="A15" s="19" t="s">
        <v>58</v>
      </c>
      <c r="B15" s="20">
        <f>B13*B14</f>
        <v>1048378703.198828</v>
      </c>
      <c r="C15" s="20">
        <f>C13*C14</f>
        <v>860808695.2021317</v>
      </c>
      <c r="D15" s="20">
        <f>D13*D14</f>
        <v>813440674.7316533</v>
      </c>
      <c r="E15" s="20">
        <f>E13*E14</f>
        <v>767358516.9639084</v>
      </c>
      <c r="F15" s="20">
        <f>F13*F14</f>
        <v>722636918.6300254</v>
      </c>
      <c r="G15" s="20">
        <f>G13*G14</f>
        <v>679340391.467177</v>
      </c>
      <c r="H15" s="20">
        <f>H13*H14</f>
        <v>637523389.6311299</v>
      </c>
      <c r="I15" s="20">
        <f>I13*I14</f>
        <v>597230507.5399057</v>
      </c>
      <c r="J15" s="20">
        <f>J13*J14</f>
        <v>558496742.8027229</v>
      </c>
      <c r="K15" s="20">
        <f>K13*K14</f>
        <v>521347818.46189225</v>
      </c>
    </row>
    <row r="17" spans="1:2" x14ac:dyDescent="0.25">
      <c r="A17" s="22" t="s">
        <v>59</v>
      </c>
      <c r="B17" s="23">
        <f>SUM(B15:K15)</f>
        <v>7206562358.6293745</v>
      </c>
    </row>
    <row r="19" spans="1:11" x14ac:dyDescent="0.25">
      <c r="A19" t="s">
        <v>7</v>
      </c>
      <c r="B19" s="9">
        <f>Assumptions!$B$10+($B$20-Assumptions!$B$10)*0/9</f>
        <v>0.016767586869159377</v>
      </c>
      <c r="C19" s="9">
        <f>Assumptions!$B$10+($B$20-Assumptions!$B$10)*1/9</f>
        <v>0.020032660430343525</v>
      </c>
      <c r="D19" s="9">
        <f>Assumptions!$B$10+($B$20-Assumptions!$B$10)*2/9</f>
        <v>0.023297733991527673</v>
      </c>
      <c r="E19" s="9">
        <f>Assumptions!$B$10+($B$20-Assumptions!$B$10)*3/9</f>
        <v>0.026562807552711818</v>
      </c>
      <c r="F19" s="9">
        <f>Assumptions!$B$10+($B$20-Assumptions!$B$10)*4/9</f>
        <v>0.029827881113895966</v>
      </c>
      <c r="G19" s="9">
        <f>Assumptions!$B$10+($B$20-Assumptions!$B$10)*5/9</f>
        <v>0.03309295467508011</v>
      </c>
      <c r="H19" s="9">
        <f>Assumptions!$B$10+($B$20-Assumptions!$B$10)*6/9</f>
        <v>0.03635802823626426</v>
      </c>
      <c r="I19" s="9">
        <f>Assumptions!$B$10+($B$20-Assumptions!$B$10)*7/9</f>
        <v>0.03962310179744841</v>
      </c>
      <c r="J19" s="9">
        <f>Assumptions!$B$10+($B$20-Assumptions!$B$10)*8/9</f>
        <v>0.042888175358632555</v>
      </c>
      <c r="K19" s="9">
        <f>Assumptions!$B$10+($B$20-Assumptions!$B$10)*9/9</f>
        <v>0.0461532489198167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0.0461532489198167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1083567459.0180886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1328483409.8616204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0.15323010963867295</v>
      </c>
    </row>
    <row r="7" spans="1:2" x14ac:dyDescent="0.25">
      <c r="A7" t="s">
        <v>66</v>
      </c>
      <c r="B7" s="18">
        <f>-MAX(B5,0)*B6</f>
        <v>-203563658.5462542</v>
      </c>
    </row>
    <row r="8" spans="1:2" x14ac:dyDescent="0.25">
      <c r="A8" t="s">
        <v>67</v>
      </c>
      <c r="B8" s="18">
        <f>IF(OR(Assumptions!$B$33=0,Assumptions!B12&lt;=0),B5,MAX(B5+B7,0))</f>
        <v>1124919751.3153663</v>
      </c>
    </row>
    <row r="9" spans="1:2" x14ac:dyDescent="0.25">
      <c r="A9" t="s">
        <v>68</v>
      </c>
      <c r="B9" s="18">
        <f>B8*(1+Assumptions!B12)/(Assumptions!B26-Assumptions!B12)</f>
        <v>20944205862.87817</v>
      </c>
    </row>
    <row r="10" spans="1:2" x14ac:dyDescent="0.25">
      <c r="A10" t="s">
        <v>69</v>
      </c>
      <c r="B10" s="18">
        <f>B9/(1+Assumptions!B26)^(10-0.5*Assumptions!B32)</f>
        <v>10077098518.557512</v>
      </c>
    </row>
    <row r="11" spans="1:2" x14ac:dyDescent="0.25">
      <c r="A11" t="s">
        <v>70</v>
      </c>
      <c r="B11" s="18">
        <f>Forecast!B17+B10</f>
        <v>17283660877.186886</v>
      </c>
    </row>
    <row r="12" spans="1:2" x14ac:dyDescent="0.25">
      <c r="A12" t="s">
        <v>71</v>
      </c>
      <c r="B12" s="18">
        <f>-Assumptions!B30</f>
        <v>332600000</v>
      </c>
    </row>
    <row r="13" spans="1:2" x14ac:dyDescent="0.25">
      <c r="A13" t="s">
        <v>72</v>
      </c>
      <c r="B13" s="18">
        <f>B11+B12</f>
        <v>17616260877.186886</v>
      </c>
    </row>
    <row r="14" spans="1:2" x14ac:dyDescent="0.25">
      <c r="A14" s="19" t="s">
        <v>73</v>
      </c>
      <c r="B14" s="24">
        <f>B13/Assumptions!B31</f>
        <v>332.38228070163933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1774480225.3568628</v>
      </c>
    </row>
    <row r="18" spans="1:2" x14ac:dyDescent="0.25">
      <c r="A18" t="s">
        <v>68</v>
      </c>
      <c r="B18" s="18">
        <f>B17*Assumptions!B13</f>
        <v>22476090114.28204</v>
      </c>
    </row>
    <row r="19" spans="1:2" x14ac:dyDescent="0.25">
      <c r="A19" t="s">
        <v>69</v>
      </c>
      <c r="B19" s="18">
        <f>B18/(1+Assumptions!B26)^(10-0.5*Assumptions!B32)</f>
        <v>10814149549.352821</v>
      </c>
    </row>
    <row r="20" spans="1:2" x14ac:dyDescent="0.25">
      <c r="A20" t="s">
        <v>70</v>
      </c>
      <c r="B20" s="18">
        <f>Forecast!B17+B19</f>
        <v>18020711907.982197</v>
      </c>
    </row>
    <row r="21" spans="1:2" x14ac:dyDescent="0.25">
      <c r="A21" t="s">
        <v>71</v>
      </c>
      <c r="B21" s="18">
        <f>-Assumptions!B30</f>
        <v>332600000</v>
      </c>
    </row>
    <row r="22" spans="1:2" x14ac:dyDescent="0.25">
      <c r="A22" t="s">
        <v>72</v>
      </c>
      <c r="B22" s="18">
        <f>B20+B21</f>
        <v>18353311907.982197</v>
      </c>
    </row>
    <row r="23" spans="1:2" x14ac:dyDescent="0.25">
      <c r="A23" s="19" t="s">
        <v>73</v>
      </c>
      <c r="B23" s="25">
        <f>B22/Assumptions!B31</f>
        <v>346.28890392419237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355.66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332.38228070163933</v>
      </c>
    </row>
    <row r="29" spans="1:2" x14ac:dyDescent="0.25">
      <c r="A29" s="19" t="s">
        <v>81</v>
      </c>
      <c r="B29" s="11">
        <f>B28/B26-1</f>
        <v>-0.0654493597772049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0.060053</v>
      </c>
      <c r="B5" s="31">
        <v>453.63644885845406</v>
      </c>
      <c r="C5" s="31">
        <v>478.4100707016962</v>
      </c>
      <c r="D5" s="31">
        <v>510.8105560211749</v>
      </c>
      <c r="E5" s="31">
        <v>554.644611373425</v>
      </c>
      <c r="F5" s="31">
        <v>616.757866044025</v>
      </c>
    </row>
    <row r="6" spans="1:6" x14ac:dyDescent="0.25">
      <c r="A6" s="30">
        <v>0.070053</v>
      </c>
      <c r="B6" s="31">
        <v>373.07945541844424</v>
      </c>
      <c r="C6" s="31">
        <v>385.8231878332025</v>
      </c>
      <c r="D6" s="31">
        <v>401.8067764868923</v>
      </c>
      <c r="E6" s="31">
        <v>422.24355979571163</v>
      </c>
      <c r="F6" s="31">
        <v>449.0391640919844</v>
      </c>
    </row>
    <row r="7" spans="1:6" x14ac:dyDescent="0.25">
      <c r="A7" s="30">
        <v>0.080053</v>
      </c>
      <c r="B7" s="31">
        <v>317.36226662643094</v>
      </c>
      <c r="C7" s="31">
        <v>324.1012716388251</v>
      </c>
      <c r="D7" s="32">
        <v>332.38265503660165</v>
      </c>
      <c r="E7" s="31">
        <v>342.6686403784032</v>
      </c>
      <c r="F7" s="31">
        <v>355.62664224617504</v>
      </c>
    </row>
    <row r="8" spans="1:6" x14ac:dyDescent="0.25">
      <c r="A8" s="30">
        <v>0.090053</v>
      </c>
      <c r="B8" s="31">
        <v>276.5496328048437</v>
      </c>
      <c r="C8" s="31">
        <v>280.02289057269724</v>
      </c>
      <c r="D8" s="31">
        <v>284.2850207392019</v>
      </c>
      <c r="E8" s="31">
        <v>289.53306734844836</v>
      </c>
      <c r="F8" s="31">
        <v>296.03565784382977</v>
      </c>
    </row>
    <row r="9" spans="1:6" x14ac:dyDescent="0.25">
      <c r="A9" s="30">
        <v>0.100053</v>
      </c>
      <c r="B9" s="31">
        <v>245.37938310657378</v>
      </c>
      <c r="C9" s="31">
        <v>246.97332512784934</v>
      </c>
      <c r="D9" s="31">
        <v>248.98899753919642</v>
      </c>
      <c r="E9" s="31">
        <v>251.51670276665078</v>
      </c>
      <c r="F9" s="31">
        <v>254.67450596080664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5156100000</v>
      </c>
      <c r="C5" s="18">
        <v>5108400000</v>
      </c>
      <c r="D5" s="18">
        <v>5108300000</v>
      </c>
      <c r="E5" s="18">
        <v>4842500000</v>
      </c>
      <c r="F5" s="6" t="s">
        <v>91</v>
      </c>
    </row>
    <row r="6" spans="1:6" x14ac:dyDescent="0.25">
      <c r="A6" t="s">
        <v>51</v>
      </c>
      <c r="B6" s="18">
        <v>1327700000</v>
      </c>
      <c r="C6" s="18">
        <v>1345700000</v>
      </c>
      <c r="D6" s="18">
        <v>1310400000</v>
      </c>
      <c r="E6" s="18">
        <v>1207200000</v>
      </c>
      <c r="F6" s="6" t="s">
        <v>92</v>
      </c>
    </row>
    <row r="7" spans="1:6" x14ac:dyDescent="0.25">
      <c r="A7" t="s">
        <v>93</v>
      </c>
      <c r="B7" s="18">
        <v>98500000</v>
      </c>
      <c r="C7" s="18">
        <v>98000000</v>
      </c>
      <c r="D7" s="18">
        <v>99300000</v>
      </c>
      <c r="E7" s="18">
        <v>100200000</v>
      </c>
      <c r="F7" s="6" t="s">
        <v>94</v>
      </c>
    </row>
    <row r="8" spans="1:6" x14ac:dyDescent="0.25">
      <c r="A8" t="s">
        <v>95</v>
      </c>
      <c r="B8" s="18">
        <v>76000000</v>
      </c>
      <c r="C8" s="18">
        <v>83500000</v>
      </c>
      <c r="D8" s="18">
        <v>95000000</v>
      </c>
      <c r="E8" s="18">
        <v>84200000</v>
      </c>
      <c r="F8" s="6" t="s">
        <v>96</v>
      </c>
    </row>
    <row r="9" spans="1:6" x14ac:dyDescent="0.25">
      <c r="A9" t="s">
        <v>97</v>
      </c>
      <c r="B9" s="18">
        <v>168700000</v>
      </c>
      <c r="C9" s="18">
        <v>63100000</v>
      </c>
      <c r="D9" s="18">
        <v>81100000</v>
      </c>
      <c r="E9" s="18">
        <v>434000000</v>
      </c>
      <c r="F9" s="6" t="s">
        <v>98</v>
      </c>
    </row>
    <row r="10" spans="1:6" x14ac:dyDescent="0.25">
      <c r="A10" t="s">
        <v>99</v>
      </c>
      <c r="B10" s="18">
        <v>1291900000</v>
      </c>
      <c r="C10" s="18">
        <v>1292800000</v>
      </c>
      <c r="D10" s="18">
        <v>1278600000</v>
      </c>
      <c r="E10" s="18">
        <v>1265100000</v>
      </c>
      <c r="F10" s="6" t="s">
        <v>100</v>
      </c>
    </row>
    <row r="11" spans="1:6" x14ac:dyDescent="0.25">
      <c r="A11" t="s">
        <v>101</v>
      </c>
      <c r="B11" s="18">
        <v>1624500000</v>
      </c>
      <c r="C11" s="18">
        <v>1360500000</v>
      </c>
      <c r="D11" s="18">
        <v>1001500000</v>
      </c>
      <c r="E11" s="18">
        <v>757200000</v>
      </c>
      <c r="F11" s="6" t="s">
        <v>102</v>
      </c>
    </row>
    <row r="12" spans="1:6" x14ac:dyDescent="0.25">
      <c r="A12" t="s">
        <v>34</v>
      </c>
      <c r="B12" s="34">
        <v>53000000</v>
      </c>
      <c r="C12" s="34">
        <v>53500000</v>
      </c>
      <c r="D12" s="34">
        <v>53900000</v>
      </c>
      <c r="E12" s="34">
        <v>54200000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