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<sst xmlns="http://schemas.openxmlformats.org/spreadsheetml/2006/main" count="112" uniqueCount="100">
  <si>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Sandisk Corporation (SNDK)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</si>
  <si>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</si>
  <si>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</si>
  <si>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</si>
  <si>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</si>
  <si>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</si>
  <si>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</si>
  <si>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</si>
  <si>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</si>
  <si>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</si>
  <si>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</si>
  <si>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</si>
  <si>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</si>
  <si>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</si>
  <si>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</si>
  <si>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</si>
  <si>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</si>
  <si>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</si>
  <si>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</si>
  <si>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</si>
  <si>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</si>
  <si>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</si>
  <si>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</si>
  <si>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</si>
  <si>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</si>
  <si>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</si>
  <si>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</si>
  <si>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</si>
  <si>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</si>
  <si>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</si>
  <si>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</si>
  <si>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</si>
  <si>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</si>
  <si>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</si>
  <si>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</si>
  <si>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</si>
  <si>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</si>
  <si>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</si>
  <si>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</si>
  <si>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</si>
  <si>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</si>
  <si>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</si>
  <si>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</si>
  <si>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</si>
  <si>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</si>
  <si>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</si>
  <si>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</si>
  <si>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</si>
  <si>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</si>
  <si>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</si>
  <si>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</si>
  <si>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</si>
  <si>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</si>
  <si>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</si>
  <si>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</si>
  <si>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</si>
  <si>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</si>
  <si>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</si>
  <si>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</si>
  <si>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</si>
  <si>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</si>
  <si>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</si>
  <si>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</si>
  <si>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</si>
  <si>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</si>
  <si>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</si>
  <si>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</si>
  <si>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</si>
  <si>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</si>
  <si>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</si>
  <si>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</si>
  <si>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</si>
  <si>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</si>
  <si>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</si>
  <si>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</si>
  <si>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</si>
  <si>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</si>
  <si>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</si>
  <si>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</si>
  <si>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</si>
  <si>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</si>
  <si>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</si>
  <si>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</si>
  <si>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</si>
  <si>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</si>
  <si>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</si>
  <si>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</si>
  <si>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</si>
  <si>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</si>
  <si>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</si>
  <si>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</si>
  <si>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</si>
  <si>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</si>
  <si>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</si>
  <si>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</si>
  <si>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</si>
  <si>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</si>
  <si>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</si>
  <si>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Current EV/EBITDA of 20.4x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</si>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</sst>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0.49285190975588256</v>
      </c>
    </row>
    <row r="7" spans="1:2" x14ac:dyDescent="0.25">
      <c r="A7" t="s">
        <v>5</v>
      </c>
      <c r="B7" s="6">
        <v>0.1013192828105049</v>
      </c>
    </row>
    <row r="8" spans="1:2" x14ac:dyDescent="0.25">
      <c r="A8" t="s">
        <v>6</v>
      </c>
      <c r="B8" s="6">
        <v>0.12168702466005993</v>
      </c>
    </row>
    <row r="9" spans="1:2" x14ac:dyDescent="0.25">
      <c r="A9" t="s">
        <v>7</v>
      </c>
      <c r="B9" s="6">
        <v>0.03418765097018664</v>
      </c>
    </row>
    <row r="10" spans="1:2" x14ac:dyDescent="0.25">
      <c r="A10" t="s">
        <v>8</v>
      </c>
      <c r="B10" s="6">
        <v>0.02434394164815882</v>
      </c>
    </row>
    <row r="11" spans="1:2" x14ac:dyDescent="0.25">
      <c r="A11" t="s">
        <v>9</v>
      </c>
      <c r="B11" s="6">
        <v>0.14904679376083188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0.36807615064582155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0.10498</v>
      </c>
    </row>
    <row r="21" spans="1:3" x14ac:dyDescent="0.25">
      <c r="A21" t="s">
        <v>21</v>
      </c>
      <c r="B21" s="6">
        <v>0.06579540333483551</v>
      </c>
      <c r="C21" s="8" t="s">
        <v>22</v>
      </c>
    </row>
    <row r="22" spans="1:2" x14ac:dyDescent="0.25">
      <c r="A22" t="s">
        <v>23</v>
      </c>
      <c r="B22" s="11">
        <v>262356500480</v>
      </c>
    </row>
    <row r="23" spans="1:2" x14ac:dyDescent="0.25">
      <c r="A23" t="s">
        <v>24</v>
      </c>
      <c r="B23" s="11">
        <v>177000000</v>
      </c>
    </row>
    <row r="24" spans="1:2" x14ac:dyDescent="0.25">
      <c r="A24" t="s">
        <v>25</v>
      </c>
      <c r="B24" s="10">
        <f>B22/(B22+B23)</f>
        <v>0.9993258003276672</v>
      </c>
    </row>
    <row r="25" spans="1:2" x14ac:dyDescent="0.25">
      <c r="A25" t="s">
        <v>26</v>
      </c>
      <c r="B25" s="10">
        <f>1-B24</f>
        <v>0.0006741996723328425</v>
      </c>
    </row>
    <row r="26" spans="1:2" x14ac:dyDescent="0.25">
      <c r="A26" t="s">
        <v>27</v>
      </c>
      <c r="B26" s="12">
        <f>B24*B20+B25*B21*(1-B8)</f>
        <v>0.10494818381391281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20248000000</v>
      </c>
      <c r="C29" s="8" t="s">
        <v>30</v>
      </c>
    </row>
    <row r="30" spans="1:2" x14ac:dyDescent="0.25">
      <c r="A30" t="s">
        <v>31</v>
      </c>
      <c r="B30" s="11">
        <v>-4585000000</v>
      </c>
    </row>
    <row r="31" spans="1:2" x14ac:dyDescent="0.25">
      <c r="A31" t="s">
        <v>32</v>
      </c>
      <c r="B31" s="13">
        <v>146000000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0.49285190975588256</v>
      </c>
      <c r="C5" s="10">
        <f>Assumptions!B6</f>
        <v>0.49285190975588256</v>
      </c>
      <c r="D5" s="10">
        <f>Assumptions!B6</f>
        <v>0.49285190975588256</v>
      </c>
      <c r="E5" s="10">
        <f>Assumptions!B6</f>
        <v>0.49285190975588256</v>
      </c>
      <c r="F5" s="10">
        <f>Assumptions!B6</f>
        <v>0.49285190975588256</v>
      </c>
    </row>
    <row r="6" spans="1:6" x14ac:dyDescent="0.25">
      <c r="A6" t="s">
        <v>43</v>
      </c>
      <c r="B6" s="18">
        <f>Assumptions!B29*(1+B5)</f>
        <v>30227265468.73711</v>
      </c>
      <c r="C6" s="18">
        <f>B6*(1+C5)</f>
        <v>45124830981.70224</v>
      </c>
      <c r="D6" s="18">
        <f>C6*(1+D5)</f>
        <v>67364690108.4456</v>
      </c>
      <c r="E6" s="18">
        <f>D6*(1+E5)</f>
        <v>100565506278.50623</v>
      </c>
      <c r="F6" s="18">
        <f>E6*(1+F5)</f>
        <v>150129408103.4352</v>
      </c>
    </row>
    <row r="7" spans="1:6" x14ac:dyDescent="0.25">
      <c r="A7" t="s">
        <v>5</v>
      </c>
      <c r="B7" s="10">
        <f>Assumptions!B7</f>
        <v>0.1013192828105049</v>
      </c>
      <c r="C7" s="10">
        <f>Assumptions!B7</f>
        <v>0.1013192828105049</v>
      </c>
      <c r="D7" s="10">
        <f>Assumptions!B7</f>
        <v>0.1013192828105049</v>
      </c>
      <c r="E7" s="10">
        <f>Assumptions!B7</f>
        <v>0.1013192828105049</v>
      </c>
      <c r="F7" s="10">
        <f>Assumptions!B7</f>
        <v>0.1013192828105049</v>
      </c>
    </row>
    <row r="8" spans="1:6" x14ac:dyDescent="0.25">
      <c r="A8" t="s">
        <v>44</v>
      </c>
      <c r="B8" s="18">
        <f>B6*B7</f>
        <v>3062604858.6151843</v>
      </c>
      <c r="C8" s="18">
        <f>C6*C7</f>
        <v>4572015512.011323</v>
      </c>
      <c r="D8" s="18">
        <f>D6*D7</f>
        <v>6825342088.539621</v>
      </c>
      <c r="E8" s="18">
        <f>E6*E7</f>
        <v>10189224971.613579</v>
      </c>
      <c r="F8" s="18">
        <f>F6*F7</f>
        <v>15211003957.805658</v>
      </c>
    </row>
    <row r="9" spans="1:6" x14ac:dyDescent="0.25">
      <c r="A9" t="s">
        <v>45</v>
      </c>
      <c r="B9" s="18">
        <f>B8*(1-Assumptions!B8)</f>
        <v>2689925585.660859</v>
      </c>
      <c r="C9" s="18">
        <f>C8*(1-Assumptions!B8)</f>
        <v>4015660547.655025</v>
      </c>
      <c r="D9" s="18">
        <f>D8*(1-Assumptions!B8)</f>
        <v>5994786517.498156</v>
      </c>
      <c r="E9" s="18">
        <f>E8*(1-Assumptions!B8)</f>
        <v>8949328501.225939</v>
      </c>
      <c r="F9" s="18">
        <f>F8*(1-Assumptions!B8)</f>
        <v>13360022144.087893</v>
      </c>
    </row>
    <row r="10" spans="1:6" x14ac:dyDescent="0.25">
      <c r="A10" t="s">
        <v>46</v>
      </c>
      <c r="B10" s="18">
        <f>B6*Assumptions!B9</f>
        <v>1033399201.6283593</v>
      </c>
      <c r="C10" s="18">
        <f>C6*Assumptions!B9</f>
        <v>1542711971.6911006</v>
      </c>
      <c r="D10" s="18">
        <f>D6*Assumptions!B9</f>
        <v>2303040513.1423225</v>
      </c>
      <c r="E10" s="18">
        <f>E6*Assumptions!B9</f>
        <v>3438098428.289684</v>
      </c>
      <c r="F10" s="18">
        <f>F6*Assumptions!B9</f>
        <v>5132571804.600953</v>
      </c>
    </row>
    <row r="11" spans="1:6" x14ac:dyDescent="0.25">
      <c r="A11" t="s">
        <v>47</v>
      </c>
      <c r="B11" s="18">
        <f>-B6*Assumptions!B10</f>
        <v>-735850786.7543422</v>
      </c>
      <c r="C11" s="18">
        <f>-C6*Assumptions!B10</f>
        <v>-1098516252.3015885</v>
      </c>
      <c r="D11" s="18">
        <f>-D6*Assumptions!B10</f>
        <v>-1639922085.1463013</v>
      </c>
      <c r="E11" s="18">
        <f>-E6*Assumptions!B10</f>
        <v>-2448160816.6615047</v>
      </c>
      <c r="F11" s="18">
        <f>-F6*Assumptions!B10</f>
        <v>-3654741550.542649</v>
      </c>
    </row>
    <row r="12" spans="1:6" x14ac:dyDescent="0.25">
      <c r="A12" t="s">
        <v>48</v>
      </c>
      <c r="B12" s="18">
        <f>-(B6-Assumptions!B29)*Assumptions!B11</f>
        <v>-1487377522.2034514</v>
      </c>
      <c r="C12" s="18">
        <f>-(C6-B6)*Assumptions!B11</f>
        <v>-2220434374.549395</v>
      </c>
      <c r="D12" s="18">
        <f>-(D6-C6)*Assumptions!B11</f>
        <v>-3314779696.5336723</v>
      </c>
      <c r="E12" s="18">
        <f>-(E6-D6)*Assumptions!B11</f>
        <v>-4948475200.390318</v>
      </c>
      <c r="F12" s="18">
        <f>-(F6-E6)*Assumptions!B11</f>
        <v>-7387340653.28231</v>
      </c>
    </row>
    <row r="13" spans="1:6" x14ac:dyDescent="0.25">
      <c r="A13" s="19" t="s">
        <v>49</v>
      </c>
      <c r="B13" s="20">
        <f>B9+B10+B11+B12</f>
        <v>1500096478.331425</v>
      </c>
      <c r="C13" s="20">
        <f>C9+C10+C11+C12</f>
        <v>2239421892.4951415</v>
      </c>
      <c r="D13" s="20">
        <f>D9+D10+D11+D12</f>
        <v>3343125248.9605045</v>
      </c>
      <c r="E13" s="20">
        <f>E9+E10+E11+E12</f>
        <v>4990790912.4638</v>
      </c>
      <c r="F13" s="20">
        <f>F9+F10+F11+F12</f>
        <v>7450511744.863889</v>
      </c>
    </row>
    <row r="14" spans="1:6" x14ac:dyDescent="0.25">
      <c r="A14" t="s">
        <v>50</v>
      </c>
      <c r="B14" s="21">
        <f>1/(1+Assumptions!$B$26)^(1-0.5*Assumptions!$B$32)</f>
        <v>0.9513252935697731</v>
      </c>
      <c r="C14" s="21">
        <f>1/(1+Assumptions!$B$26)^(2-0.5*Assumptions!$B$32)</f>
        <v>0.8609682404165915</v>
      </c>
      <c r="D14" s="21">
        <f>1/(1+Assumptions!$B$26)^(3-0.5*Assumptions!$B$32)</f>
        <v>0.7791933169615395</v>
      </c>
      <c r="E14" s="21">
        <f>1/(1+Assumptions!$B$26)^(4-0.5*Assumptions!$B$32)</f>
        <v>0.7051853909312054</v>
      </c>
      <c r="F14" s="21">
        <f>1/(1+Assumptions!$B$26)^(5-0.5*Assumptions!$B$32)</f>
        <v>0.6382067514669697</v>
      </c>
    </row>
    <row r="15" spans="1:6" x14ac:dyDescent="0.25">
      <c r="A15" s="19" t="s">
        <v>51</v>
      </c>
      <c r="B15" s="20">
        <f>B13*B14</f>
        <v>1427079722.6316257</v>
      </c>
      <c r="C15" s="20">
        <f>C13*C14</f>
        <v>1928071126.3319352</v>
      </c>
      <c r="D15" s="20">
        <f>D13*D14</f>
        <v>2604940851.755408</v>
      </c>
      <c r="E15" s="20">
        <f>E13*E14</f>
        <v>3519432840.661692</v>
      </c>
      <c r="F15" s="20">
        <f>F13*F14</f>
        <v>4754966897.456086</v>
      </c>
    </row>
    <row r="17" spans="1:2" x14ac:dyDescent="0.25">
      <c r="A17" s="22" t="s">
        <v>52</v>
      </c>
      <c r="B17" s="23">
        <f>SUM(B15:F15)</f>
        <v>14234491438.836746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7450511744.863889</v>
      </c>
    </row>
    <row r="5" spans="1:2" x14ac:dyDescent="0.25">
      <c r="A5" t="s">
        <v>56</v>
      </c>
      <c r="B5" s="18">
        <f>IF(Assumptions!$B$33=0,B4,B4-Forecast!F11-Forecast!F10-Forecast!F12)</f>
        <v>14080423916.459232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0.06792072769761184</v>
      </c>
    </row>
    <row r="7" spans="1:2" x14ac:dyDescent="0.25">
      <c r="A7" t="s">
        <v>58</v>
      </c>
      <c r="B7" s="18">
        <f>-MAX(Forecast!F9,0)*B6</f>
        <v>-956352638.6967688</v>
      </c>
    </row>
    <row r="8" spans="1:2" x14ac:dyDescent="0.25">
      <c r="A8" t="s">
        <v>59</v>
      </c>
      <c r="B8" s="18">
        <f>IF(OR(Assumptions!$B$33=0,Assumptions!B12&lt;=0),B5,MAX(B5+B7,0))</f>
        <v>13124071277.762463</v>
      </c>
    </row>
    <row r="9" spans="1:2" x14ac:dyDescent="0.25">
      <c r="A9" t="s">
        <v>60</v>
      </c>
      <c r="B9" s="18">
        <f>B8*(1+Assumptions!B12)/(Assumptions!B26-Assumptions!B12)</f>
        <v>168261146382.2339</v>
      </c>
    </row>
    <row r="10" spans="1:2" x14ac:dyDescent="0.25">
      <c r="A10" t="s">
        <v>61</v>
      </c>
      <c r="B10" s="18">
        <f>B9/(1+Assumptions!B26)^(5-0.5*Assumptions!B32)</f>
        <v>107385399630.71375</v>
      </c>
    </row>
    <row r="11" spans="1:2" x14ac:dyDescent="0.25">
      <c r="A11" t="s">
        <v>62</v>
      </c>
      <c r="B11" s="18">
        <f>Forecast!B17+B10</f>
        <v>121619891069.55049</v>
      </c>
    </row>
    <row r="12" spans="1:2" x14ac:dyDescent="0.25">
      <c r="A12" t="s">
        <v>63</v>
      </c>
      <c r="B12" s="18">
        <f>-Assumptions!B30</f>
        <v>4585000000</v>
      </c>
    </row>
    <row r="13" spans="1:2" x14ac:dyDescent="0.25">
      <c r="A13" t="s">
        <v>64</v>
      </c>
      <c r="B13" s="18">
        <f>B11+B12</f>
        <v>126204891069.55049</v>
      </c>
    </row>
    <row r="14" spans="1:2" x14ac:dyDescent="0.25">
      <c r="A14" s="19" t="s">
        <v>65</v>
      </c>
      <c r="B14" s="24">
        <f>B13/Assumptions!B31</f>
        <v>864.4170621202088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20343575762.406612</v>
      </c>
    </row>
    <row r="18" spans="1:2" x14ac:dyDescent="0.25">
      <c r="A18" t="s">
        <v>60</v>
      </c>
      <c r="B18" s="18">
        <f>B17*Assumptions!B13</f>
        <v>406871515248.13226</v>
      </c>
    </row>
    <row r="19" spans="1:2" x14ac:dyDescent="0.25">
      <c r="A19" t="s">
        <v>61</v>
      </c>
      <c r="B19" s="18">
        <f>B18/(1+Assumptions!B26)^(5-0.5*Assumptions!B32)</f>
        <v>259668148010.95413</v>
      </c>
    </row>
    <row r="20" spans="1:2" x14ac:dyDescent="0.25">
      <c r="A20" t="s">
        <v>62</v>
      </c>
      <c r="B20" s="18">
        <f>Forecast!B17+B19</f>
        <v>273902639449.7909</v>
      </c>
    </row>
    <row r="21" spans="1:2" x14ac:dyDescent="0.25">
      <c r="A21" t="s">
        <v>63</v>
      </c>
      <c r="B21" s="18">
        <f>-Assumptions!B30</f>
        <v>4585000000</v>
      </c>
    </row>
    <row r="22" spans="1:2" x14ac:dyDescent="0.25">
      <c r="A22" t="s">
        <v>64</v>
      </c>
      <c r="B22" s="18">
        <f>B20+B21</f>
        <v>278487639449.7909</v>
      </c>
    </row>
    <row r="23" spans="1:2" x14ac:dyDescent="0.25">
      <c r="A23" s="19" t="s">
        <v>65</v>
      </c>
      <c r="B23" s="25">
        <f>B22/Assumptions!B31</f>
        <v>1907.4495852725404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1791.82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864.4170621202088</v>
      </c>
    </row>
    <row r="29" spans="1:2" x14ac:dyDescent="0.25">
      <c r="A29" s="19" t="s">
        <v>73</v>
      </c>
      <c r="B29" s="12">
        <f>B28/B26-1</f>
        <v>-0.5175759495260635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0.084948</v>
      </c>
      <c r="B5" s="31">
        <v>1064.703547579455</v>
      </c>
      <c r="C5" s="31">
        <v>1126.9883136598257</v>
      </c>
      <c r="D5" s="31">
        <v>1199.511459589031</v>
      </c>
      <c r="E5" s="31">
        <v>1285.0679132576681</v>
      </c>
      <c r="F5" s="31">
        <v>1387.571737613032</v>
      </c>
    </row>
    <row r="6" spans="1:6" x14ac:dyDescent="0.25">
      <c r="A6" s="30">
        <v>0.094948</v>
      </c>
      <c r="B6" s="31">
        <v>912.5507104623321</v>
      </c>
      <c r="C6" s="31">
        <v>956.8944398622119</v>
      </c>
      <c r="D6" s="31">
        <v>1007.4531742266231</v>
      </c>
      <c r="E6" s="31">
        <v>1065.6622937746347</v>
      </c>
      <c r="F6" s="31">
        <v>1133.4360538234203</v>
      </c>
    </row>
    <row r="7" spans="1:6" x14ac:dyDescent="0.25">
      <c r="A7" s="30">
        <v>0.104948</v>
      </c>
      <c r="B7" s="31">
        <v>795.1393354354802</v>
      </c>
      <c r="C7" s="31">
        <v>827.789661982479</v>
      </c>
      <c r="D7" s="32">
        <v>864.4193537489939</v>
      </c>
      <c r="E7" s="31">
        <v>905.8248359670891</v>
      </c>
      <c r="F7" s="31">
        <v>953.0302530979889</v>
      </c>
    </row>
    <row r="8" spans="1:6" x14ac:dyDescent="0.25">
      <c r="A8" s="30">
        <v>0.114948</v>
      </c>
      <c r="B8" s="31">
        <v>701.9975287385055</v>
      </c>
      <c r="C8" s="31">
        <v>726.6776711403329</v>
      </c>
      <c r="D8" s="31">
        <v>754.0123766913853</v>
      </c>
      <c r="E8" s="31">
        <v>784.4703844701392</v>
      </c>
      <c r="F8" s="31">
        <v>818.6376945443322</v>
      </c>
    </row>
    <row r="9" spans="1:6" x14ac:dyDescent="0.25">
      <c r="A9" s="30">
        <v>0.124948</v>
      </c>
      <c r="B9" s="31">
        <v>626.4656721363862</v>
      </c>
      <c r="C9" s="31">
        <v>645.5181578314306</v>
      </c>
      <c r="D9" s="31">
        <v>666.3997175027389</v>
      </c>
      <c r="E9" s="31">
        <v>689.3993104716657</v>
      </c>
      <c r="F9" s="31">
        <v>714.8701463644869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20248000000</v>
      </c>
      <c r="C5" s="18">
        <v>7355000000</v>
      </c>
      <c r="D5" s="18">
        <v>6663000000</v>
      </c>
      <c r="E5" s="18">
        <v>6086000000</v>
      </c>
      <c r="F5" s="8" t="s">
        <v>84</v>
      </c>
    </row>
    <row r="6" spans="1:6" x14ac:dyDescent="0.25">
      <c r="A6" t="s">
        <v>44</v>
      </c>
      <c r="B6" s="18">
        <v>12468000000</v>
      </c>
      <c r="C6" s="18">
        <v>507000000</v>
      </c>
      <c r="D6" s="18">
        <v>-444000000</v>
      </c>
      <c r="E6" s="18">
        <v>-1295000000</v>
      </c>
      <c r="F6" s="8" t="s">
        <v>85</v>
      </c>
    </row>
    <row r="7" spans="1:6" x14ac:dyDescent="0.25">
      <c r="A7" t="s">
        <v>86</v>
      </c>
      <c r="B7" s="18">
        <v>149000000</v>
      </c>
      <c r="C7" s="18">
        <v>163000000</v>
      </c>
      <c r="D7" s="18">
        <v>224000000</v>
      </c>
      <c r="E7" s="18">
        <v>448000000</v>
      </c>
      <c r="F7" s="8" t="s">
        <v>87</v>
      </c>
    </row>
    <row r="8" spans="1:6" x14ac:dyDescent="0.25">
      <c r="A8" t="s">
        <v>88</v>
      </c>
      <c r="B8" s="18">
        <v>177000000</v>
      </c>
      <c r="C8" s="18">
        <v>204000000</v>
      </c>
      <c r="D8" s="18">
        <v>166000000</v>
      </c>
      <c r="E8" s="18">
        <v>219000000</v>
      </c>
      <c r="F8" s="8" t="s">
        <v>89</v>
      </c>
    </row>
    <row r="9" spans="1:6" x14ac:dyDescent="0.25">
      <c r="A9" t="s">
        <v>90</v>
      </c>
      <c r="B9" s="18">
        <v>-212000000</v>
      </c>
      <c r="C9" s="18">
        <v>380000000</v>
      </c>
      <c r="D9" s="18">
        <v>86000000</v>
      </c>
      <c r="E9" s="18">
        <v>-197000000</v>
      </c>
      <c r="F9" s="8" t="s">
        <v>91</v>
      </c>
    </row>
    <row r="10" spans="1:6" x14ac:dyDescent="0.25">
      <c r="A10" t="s">
        <v>92</v>
      </c>
      <c r="B10" s="18">
        <v>177000000</v>
      </c>
      <c r="C10" s="18">
        <v>2042000000</v>
      </c>
      <c r="D10" s="18">
        <v>985000000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4762000000</v>
      </c>
      <c r="C11" s="18">
        <v>1481000000</v>
      </c>
      <c r="D11" s="18">
        <v>328000000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146000000</v>
      </c>
      <c r="C12" s="34">
        <v>145000000</v>
      </c>
      <c r="D12" s="34">
        <v>145000000</v>
      </c>
      <c r="E12" s="34">
        <v>145000000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