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<sst xmlns="http://schemas.openxmlformats.org/spreadsheetml/2006/main" count="120" uniqueCount="107">
  <si>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Sandisk Corporation (SNDK)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</si>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</sst>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0.1013192828105049</v>
      </c>
    </row>
    <row r="8" spans="1:2" x14ac:dyDescent="0.25">
      <c r="A8" t="s">
        <v>5</v>
      </c>
      <c r="B8" s="5">
        <v>0.12168702466005993</v>
      </c>
    </row>
    <row r="9" spans="1:2" x14ac:dyDescent="0.25">
      <c r="A9" t="s">
        <v>6</v>
      </c>
      <c r="B9" s="5">
        <v>0.03418765097018664</v>
      </c>
    </row>
    <row r="10" spans="1:3" x14ac:dyDescent="0.25">
      <c r="A10" t="s">
        <v>7</v>
      </c>
      <c r="B10" s="5">
        <v>0.02434394164815882</v>
      </c>
      <c r="C10" s="6" t="s">
        <v>8</v>
      </c>
    </row>
    <row r="11" spans="1:2" x14ac:dyDescent="0.25">
      <c r="A11" t="s">
        <v>9</v>
      </c>
      <c r="B11" s="5">
        <v>0.37811012916383413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12.615868043433462</v>
      </c>
    </row>
    <row r="14" spans="1:3" x14ac:dyDescent="0.25">
      <c r="A14" t="s">
        <v>12</v>
      </c>
      <c r="B14" s="5">
        <v>0.36807615064582155</v>
      </c>
      <c r="C14" s="6" t="s">
        <v>13</v>
      </c>
    </row>
    <row r="15" spans="1:3" x14ac:dyDescent="0.25">
      <c r="A15" t="s">
        <v>14</v>
      </c>
      <c r="B15" s="5">
        <v>0.028724292442417986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</v>
      </c>
      <c r="C19" s="6" t="s">
        <v>21</v>
      </c>
    </row>
    <row r="20" spans="1:2" x14ac:dyDescent="0.25">
      <c r="A20" t="s">
        <v>22</v>
      </c>
      <c r="B20" s="9">
        <f>B17+B19*B18</f>
        <v>0.09124</v>
      </c>
    </row>
    <row r="21" spans="1:3" x14ac:dyDescent="0.25">
      <c r="A21" t="s">
        <v>23</v>
      </c>
      <c r="B21" s="5">
        <v>0.06579540333483551</v>
      </c>
      <c r="C21" s="6" t="s">
        <v>24</v>
      </c>
    </row>
    <row r="22" spans="1:2" x14ac:dyDescent="0.25">
      <c r="A22" t="s">
        <v>25</v>
      </c>
      <c r="B22" s="10">
        <v>163759407104</v>
      </c>
    </row>
    <row r="23" spans="1:2" x14ac:dyDescent="0.25">
      <c r="A23" t="s">
        <v>26</v>
      </c>
      <c r="B23" s="10">
        <v>177000000</v>
      </c>
    </row>
    <row r="24" spans="1:2" x14ac:dyDescent="0.25">
      <c r="A24" t="s">
        <v>27</v>
      </c>
      <c r="B24" s="9">
        <f>B22/(B22+B23)</f>
        <v>0.9989203130462185</v>
      </c>
    </row>
    <row r="25" spans="1:2" x14ac:dyDescent="0.25">
      <c r="A25" t="s">
        <v>28</v>
      </c>
      <c r="B25" s="9">
        <f>1-B24</f>
        <v>0.0010796869537814668</v>
      </c>
    </row>
    <row r="26" spans="1:2" x14ac:dyDescent="0.25">
      <c r="A26" t="s">
        <v>29</v>
      </c>
      <c r="B26" s="11">
        <f>B24*B20+B25*B21*(1-B8)</f>
        <v>0.09120388334470673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20248000000</v>
      </c>
      <c r="C29" s="6" t="s">
        <v>32</v>
      </c>
    </row>
    <row r="30" spans="1:2" x14ac:dyDescent="0.25">
      <c r="A30" t="s">
        <v>33</v>
      </c>
      <c r="B30" s="10">
        <v>-4585000000</v>
      </c>
    </row>
    <row r="31" spans="1:2" x14ac:dyDescent="0.25">
      <c r="A31" t="s">
        <v>34</v>
      </c>
      <c r="B31" s="12">
        <v>155000000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0.22230213915864283</v>
      </c>
      <c r="D5" s="5">
        <v>0.19763937176381247</v>
      </c>
      <c r="E5" s="5">
        <v>0.17297660436898213</v>
      </c>
      <c r="F5" s="5">
        <v>0.14831383697415176</v>
      </c>
      <c r="G5" s="5">
        <v>0.12365106957932141</v>
      </c>
      <c r="H5" s="5">
        <v>0.09898830218449106</v>
      </c>
      <c r="I5" s="5">
        <v>0.0743255347896607</v>
      </c>
      <c r="J5" s="5">
        <v>0.04966276739483036</v>
      </c>
      <c r="K5" s="5">
        <v>0.024999999999999994</v>
      </c>
    </row>
    <row r="6" spans="1:11" x14ac:dyDescent="0.25">
      <c r="A6" t="s">
        <v>50</v>
      </c>
      <c r="B6" s="18">
        <f>Assumptions!B29*(1+B5)</f>
        <v>30372000000</v>
      </c>
      <c r="C6" s="18">
        <f>B6*(1+C5)</f>
        <v>37123760570.5263</v>
      </c>
      <c r="D6" s="18">
        <f>C6*(1+D5)</f>
        <v>44460877287.19531</v>
      </c>
      <c r="E6" s="18">
        <f>D6*(1+E5)</f>
        <v>52151568867.600365</v>
      </c>
      <c r="F6" s="18">
        <f>E6*(1+F5)</f>
        <v>59886368150.57589</v>
      </c>
      <c r="G6" s="18">
        <f>F6*(1+G5)</f>
        <v>67291381625.6156</v>
      </c>
      <c r="H6" s="18">
        <f>G6*(1+H5)</f>
        <v>73952441244.38394</v>
      </c>
      <c r="I6" s="18">
        <f>H6*(1+I5)</f>
        <v>79448995988.87375</v>
      </c>
      <c r="J6" s="18">
        <f>I6*(1+J5)</f>
        <v>83394652996.422</v>
      </c>
      <c r="K6" s="18">
        <f>J6*(1+K5)</f>
        <v>85479519321.33253</v>
      </c>
    </row>
    <row r="7" spans="1:11" x14ac:dyDescent="0.25">
      <c r="A7" t="s">
        <v>4</v>
      </c>
      <c r="B7" s="9">
        <f>Assumptions!B7</f>
        <v>0.1013192828105049</v>
      </c>
      <c r="C7" s="9">
        <f>Assumptions!B7</f>
        <v>0.1013192828105049</v>
      </c>
      <c r="D7" s="9">
        <f>Assumptions!B7</f>
        <v>0.1013192828105049</v>
      </c>
      <c r="E7" s="9">
        <f>Assumptions!B7</f>
        <v>0.1013192828105049</v>
      </c>
      <c r="F7" s="9">
        <f>Assumptions!B7</f>
        <v>0.1013192828105049</v>
      </c>
      <c r="G7" s="9">
        <f>Assumptions!B7</f>
        <v>0.1013192828105049</v>
      </c>
      <c r="H7" s="9">
        <f>Assumptions!B7</f>
        <v>0.1013192828105049</v>
      </c>
      <c r="I7" s="9">
        <f>Assumptions!B7</f>
        <v>0.1013192828105049</v>
      </c>
      <c r="J7" s="9">
        <f>Assumptions!B7</f>
        <v>0.1013192828105049</v>
      </c>
      <c r="K7" s="9">
        <f>Assumptions!B7</f>
        <v>0.1013192828105049</v>
      </c>
    </row>
    <row r="8" spans="1:11" x14ac:dyDescent="0.25">
      <c r="A8" t="s">
        <v>51</v>
      </c>
      <c r="B8" s="18">
        <f>B6*B7</f>
        <v>3077269257.5206547</v>
      </c>
      <c r="C8" s="18">
        <f>C6*C7</f>
        <v>3761352796.234625</v>
      </c>
      <c r="D8" s="18">
        <f>D6*D7</f>
        <v>4504744199.864495</v>
      </c>
      <c r="E8" s="18">
        <f>E6*E7</f>
        <v>5283959555.1079235</v>
      </c>
      <c r="F8" s="18">
        <f>F6*F7</f>
        <v>6067643871.142212</v>
      </c>
      <c r="G8" s="18">
        <f>G6*G7</f>
        <v>6817914525.63536</v>
      </c>
      <c r="H8" s="18">
        <f>H6*H7</f>
        <v>7492808308.966983</v>
      </c>
      <c r="I8" s="18">
        <f>I6*I7</f>
        <v>8049715293.607368</v>
      </c>
      <c r="J8" s="18">
        <f>J6*J7</f>
        <v>8449486431.8284</v>
      </c>
      <c r="K8" s="18">
        <f>K6*K7</f>
        <v>8660723592.62411</v>
      </c>
    </row>
    <row r="9" spans="1:11" x14ac:dyDescent="0.25">
      <c r="A9" t="s">
        <v>52</v>
      </c>
      <c r="B9" s="18">
        <f>B8*(1-Assumptions!B8)</f>
        <v>2702805517.495095</v>
      </c>
      <c r="C9" s="18">
        <f>C8*(1-Assumptions!B8)</f>
        <v>3303644965.764037</v>
      </c>
      <c r="D9" s="18">
        <f>D8*(1-Assumptions!B8)</f>
        <v>3956575281.328323</v>
      </c>
      <c r="E9" s="18">
        <f>E8*(1-Assumptions!B8)</f>
        <v>4640970238.422747</v>
      </c>
      <c r="F9" s="18">
        <f>F8*(1-Assumptions!B8)</f>
        <v>5329290341.766068</v>
      </c>
      <c r="G9" s="18">
        <f>G8*(1-Assumptions!B8)</f>
        <v>5988262792.624189</v>
      </c>
      <c r="H9" s="18">
        <f>H8*(1-Assumptions!B8)</f>
        <v>6581030759.500616</v>
      </c>
      <c r="I9" s="18">
        <f>I8*(1-Assumptions!B8)</f>
        <v>7070169390.167707</v>
      </c>
      <c r="J9" s="18">
        <f>J8*(1-Assumptions!B8)</f>
        <v>7421293568.033656</v>
      </c>
      <c r="K9" s="18">
        <f>K8*(1-Assumptions!B8)</f>
        <v>7606825907.234497</v>
      </c>
    </row>
    <row r="10" spans="1:11" x14ac:dyDescent="0.25">
      <c r="A10" t="s">
        <v>53</v>
      </c>
      <c r="B10" s="18">
        <f>B6*Assumptions!B9</f>
        <v>1038347335.2665086</v>
      </c>
      <c r="C10" s="18">
        <f>C6*Assumptions!B9</f>
        <v>1269174169.0859299</v>
      </c>
      <c r="D10" s="18">
        <f>D6*Assumptions!B9</f>
        <v>1520012954.522932</v>
      </c>
      <c r="E10" s="18">
        <f>E6*Assumptions!B9</f>
        <v>1782939633.993173</v>
      </c>
      <c r="F10" s="18">
        <f>F6*Assumptions!B9</f>
        <v>2047374252.20399</v>
      </c>
      <c r="G10" s="18">
        <f>G6*Assumptions!B9</f>
        <v>2300534268.3181767</v>
      </c>
      <c r="H10" s="18">
        <f>H6*Assumptions!B9</f>
        <v>2528260249.6562333</v>
      </c>
      <c r="I10" s="18">
        <f>I6*Assumptions!B9</f>
        <v>2716174544.799374</v>
      </c>
      <c r="J10" s="18">
        <f>J6*Assumptions!B9</f>
        <v>2851067289.4215045</v>
      </c>
      <c r="K10" s="18">
        <f>K6*Assumptions!B9</f>
        <v>2922343971.657042</v>
      </c>
    </row>
    <row r="11" spans="1:11" x14ac:dyDescent="0.25">
      <c r="A11" t="s">
        <v>54</v>
      </c>
      <c r="B11" s="18">
        <f>-B6*B19</f>
        <v>-739374195.7378796</v>
      </c>
      <c r="C11" s="18">
        <f>-C6*C19</f>
        <v>-948083155.4400969</v>
      </c>
      <c r="D11" s="18">
        <f>-D6*D19</f>
        <v>-1188570427.0168288</v>
      </c>
      <c r="E11" s="18">
        <f>-E6*E19</f>
        <v>-1456460580.6169872</v>
      </c>
      <c r="F11" s="18">
        <f>-F6*F19</f>
        <v>-1744008366.380599</v>
      </c>
      <c r="G11" s="18">
        <f>-G6*G19</f>
        <v>-2040036715.869063</v>
      </c>
      <c r="H11" s="18">
        <f>-H6*H19</f>
        <v>-2330313001.241925</v>
      </c>
      <c r="I11" s="18">
        <f>-I6*I19</f>
        <v>-2598416934.441294</v>
      </c>
      <c r="J11" s="18">
        <f>-J6*J19</f>
        <v>-2827076787.956653</v>
      </c>
      <c r="K11" s="18">
        <f>-K6*K19</f>
        <v>-2999859367.303617</v>
      </c>
    </row>
    <row r="12" spans="1:11" x14ac:dyDescent="0.25">
      <c r="A12" t="s">
        <v>55</v>
      </c>
      <c r="B12" s="18">
        <f>-(B6-Assumptions!B29)*Assumptions!B11</f>
        <v>-3827986947.654657</v>
      </c>
      <c r="C12" s="18">
        <f>-(C6-B6)*Assumptions!B11</f>
        <v>-2552909061.404981</v>
      </c>
      <c r="D12" s="18">
        <f>-(D6-C6)*Assumptions!B11</f>
        <v>-2774238149.4298472</v>
      </c>
      <c r="E12" s="18">
        <f>-(E6-D6)*Assumptions!B11</f>
        <v>-2907928386.826166</v>
      </c>
      <c r="F12" s="18">
        <f>-(F6-E6)*Assumptions!B11</f>
        <v>-2924605955.9422073</v>
      </c>
      <c r="G12" s="18">
        <f>-(G6-F6)*Assumptions!B11</f>
        <v>-2799910601.5071974</v>
      </c>
      <c r="H12" s="18">
        <f>-(H6-G6)*Assumptions!B11</f>
        <v>-2518614112.820497</v>
      </c>
      <c r="I12" s="18">
        <f>-(I6-H6)*Assumptions!B11</f>
        <v>-2078303024.3951263</v>
      </c>
      <c r="J12" s="18">
        <f>-(J6-I6)*Assumptions!B11</f>
        <v>-1491892880.7602553</v>
      </c>
      <c r="K12" s="18">
        <f>-(K6-J6)*Assumptions!B11</f>
        <v>-788309075.4012516</v>
      </c>
    </row>
    <row r="13" spans="1:11" x14ac:dyDescent="0.25">
      <c r="A13" s="19" t="s">
        <v>56</v>
      </c>
      <c r="B13" s="20">
        <f>B9+B10+B11+B12</f>
        <v>-826208290.6309333</v>
      </c>
      <c r="C13" s="20">
        <f>C9+C10+C11+C12</f>
        <v>1071826918.004889</v>
      </c>
      <c r="D13" s="20">
        <f>D9+D10+D11+D12</f>
        <v>1513779659.4045796</v>
      </c>
      <c r="E13" s="20">
        <f>E9+E10+E11+E12</f>
        <v>2059520904.972766</v>
      </c>
      <c r="F13" s="20">
        <f>F9+F10+F11+F12</f>
        <v>2708050271.647252</v>
      </c>
      <c r="G13" s="20">
        <f>G9+G10+G11+G12</f>
        <v>3448849743.566106</v>
      </c>
      <c r="H13" s="20">
        <f>H9+H10+H11+H12</f>
        <v>4260363895.0944276</v>
      </c>
      <c r="I13" s="20">
        <f>I9+I10+I11+I12</f>
        <v>5109623976.130661</v>
      </c>
      <c r="J13" s="20">
        <f>J9+J10+J11+J12</f>
        <v>5953391188.738251</v>
      </c>
      <c r="K13" s="20">
        <f>K9+K10+K11+K12</f>
        <v>6741001436.186669</v>
      </c>
    </row>
    <row r="14" spans="1:11" x14ac:dyDescent="0.25">
      <c r="A14" t="s">
        <v>57</v>
      </c>
      <c r="B14" s="21">
        <f>1/(1+Assumptions!$B$26)^(1-0.5*Assumptions!$B$32)</f>
        <v>0.9572977729280442</v>
      </c>
      <c r="C14" s="21">
        <f>1/(1+Assumptions!$B$26)^(2-0.5*Assumptions!$B$32)</f>
        <v>0.8772858927094176</v>
      </c>
      <c r="D14" s="21">
        <f>1/(1+Assumptions!$B$26)^(3-0.5*Assumptions!$B$32)</f>
        <v>0.8039614833667951</v>
      </c>
      <c r="E14" s="21">
        <f>1/(1+Assumptions!$B$26)^(4-0.5*Assumptions!$B$32)</f>
        <v>0.736765599571118</v>
      </c>
      <c r="F14" s="21">
        <f>1/(1+Assumptions!$B$26)^(5-0.5*Assumptions!$B$32)</f>
        <v>0.6751860131883135</v>
      </c>
      <c r="G14" s="21">
        <f>1/(1+Assumptions!$B$26)^(6-0.5*Assumptions!$B$32)</f>
        <v>0.6187533086106376</v>
      </c>
      <c r="H14" s="21">
        <f>1/(1+Assumptions!$B$26)^(7-0.5*Assumptions!$B$32)</f>
        <v>0.5670373044440277</v>
      </c>
      <c r="I14" s="21">
        <f>1/(1+Assumptions!$B$26)^(8-0.5*Assumptions!$B$32)</f>
        <v>0.5196437742743104</v>
      </c>
      <c r="J14" s="21">
        <f>1/(1+Assumptions!$B$26)^(9-0.5*Assumptions!$B$32)</f>
        <v>0.4762114415149649</v>
      </c>
      <c r="K14" s="21">
        <f>1/(1+Assumptions!$B$26)^(10-0.5*Assumptions!$B$32)</f>
        <v>0.4364092254284361</v>
      </c>
    </row>
    <row r="15" spans="1:11" x14ac:dyDescent="0.25">
      <c r="A15" s="19" t="s">
        <v>58</v>
      </c>
      <c r="B15" s="20">
        <f>B13*B14</f>
        <v>-790927356.5956787</v>
      </c>
      <c r="C15" s="20">
        <f>C13*C14</f>
        <v>940298634.5919027</v>
      </c>
      <c r="D15" s="20">
        <f>D13*D14</f>
        <v>1217020540.4653876</v>
      </c>
      <c r="E15" s="20">
        <f>E13*E14</f>
        <v>1517384154.3815114</v>
      </c>
      <c r="F15" s="20">
        <f>F13*F14</f>
        <v>1828437666.4270375</v>
      </c>
      <c r="G15" s="20">
        <f>G13*G14</f>
        <v>2133987189.732477</v>
      </c>
      <c r="H15" s="20">
        <f>H13*H14</f>
        <v>2415785259.0250025</v>
      </c>
      <c r="I15" s="20">
        <f>I13*I14</f>
        <v>2655184288.079046</v>
      </c>
      <c r="J15" s="20">
        <f>J13*J14</f>
        <v>2835072999.891533</v>
      </c>
      <c r="K15" s="20">
        <f>K13*K14</f>
        <v>2941835215.3781996</v>
      </c>
    </row>
    <row r="17" spans="1:2" x14ac:dyDescent="0.25">
      <c r="A17" s="22" t="s">
        <v>59</v>
      </c>
      <c r="B17" s="23">
        <f>SUM(B15:K15)</f>
        <v>17694078591.37642</v>
      </c>
    </row>
    <row r="19" spans="1:11" x14ac:dyDescent="0.25">
      <c r="A19" t="s">
        <v>7</v>
      </c>
      <c r="B19" s="9">
        <f>Assumptions!$B$10+($B$20-Assumptions!$B$10)*0/9</f>
        <v>0.02434394164815882</v>
      </c>
      <c r="C19" s="9">
        <f>Assumptions!$B$10+($B$20-Assumptions!$B$10)*1/9</f>
        <v>0.025538446021355105</v>
      </c>
      <c r="D19" s="9">
        <f>Assumptions!$B$10+($B$20-Assumptions!$B$10)*2/9</f>
        <v>0.02673295039455139</v>
      </c>
      <c r="E19" s="9">
        <f>Assumptions!$B$10+($B$20-Assumptions!$B$10)*3/9</f>
        <v>0.02792745476774768</v>
      </c>
      <c r="F19" s="9">
        <f>Assumptions!$B$10+($B$20-Assumptions!$B$10)*4/9</f>
        <v>0.029121959140943964</v>
      </c>
      <c r="G19" s="9">
        <f>Assumptions!$B$10+($B$20-Assumptions!$B$10)*5/9</f>
        <v>0.03031646351414025</v>
      </c>
      <c r="H19" s="9">
        <f>Assumptions!$B$10+($B$20-Assumptions!$B$10)*6/9</f>
        <v>0.03151096788733654</v>
      </c>
      <c r="I19" s="9">
        <f>Assumptions!$B$10+($B$20-Assumptions!$B$10)*7/9</f>
        <v>0.032705472260532824</v>
      </c>
      <c r="J19" s="9">
        <f>Assumptions!$B$10+($B$20-Assumptions!$B$10)*8/9</f>
        <v>0.03389997663372911</v>
      </c>
      <c r="K19" s="9">
        <f>Assumptions!$B$10+($B$20-Assumptions!$B$10)*9/9</f>
        <v>0.035094481006925395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0.035094481006925395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6741001436.186669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8017002687.376809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0.06792072769761184</v>
      </c>
    </row>
    <row r="7" spans="1:2" x14ac:dyDescent="0.25">
      <c r="A7" t="s">
        <v>66</v>
      </c>
      <c r="B7" s="18">
        <f>-MAX(B5,0)*B6</f>
        <v>-544520656.4803426</v>
      </c>
    </row>
    <row r="8" spans="1:2" x14ac:dyDescent="0.25">
      <c r="A8" t="s">
        <v>67</v>
      </c>
      <c r="B8" s="18">
        <f>IF(OR(Assumptions!$B$33=0,Assumptions!B12&lt;=0),B5,MAX(B5+B7,0))</f>
        <v>7472482030.896466</v>
      </c>
    </row>
    <row r="9" spans="1:2" x14ac:dyDescent="0.25">
      <c r="A9" t="s">
        <v>68</v>
      </c>
      <c r="B9" s="18">
        <f>B8*(1+Assumptions!B12)/(Assumptions!B26-Assumptions!B12)</f>
        <v>115692519754.30032</v>
      </c>
    </row>
    <row r="10" spans="1:2" x14ac:dyDescent="0.25">
      <c r="A10" t="s">
        <v>69</v>
      </c>
      <c r="B10" s="18">
        <f>B9/(1+Assumptions!B26)^(10-0.5*Assumptions!B32)</f>
        <v>50489282933.83824</v>
      </c>
    </row>
    <row r="11" spans="1:2" x14ac:dyDescent="0.25">
      <c r="A11" t="s">
        <v>70</v>
      </c>
      <c r="B11" s="18">
        <f>Forecast!B17+B10</f>
        <v>68183361525.21466</v>
      </c>
    </row>
    <row r="12" spans="1:2" x14ac:dyDescent="0.25">
      <c r="A12" t="s">
        <v>71</v>
      </c>
      <c r="B12" s="18">
        <f>-Assumptions!B30</f>
        <v>4585000000</v>
      </c>
    </row>
    <row r="13" spans="1:2" x14ac:dyDescent="0.25">
      <c r="A13" t="s">
        <v>72</v>
      </c>
      <c r="B13" s="18">
        <f>B11+B12</f>
        <v>72768361525.21466</v>
      </c>
    </row>
    <row r="14" spans="1:2" x14ac:dyDescent="0.25">
      <c r="A14" s="19" t="s">
        <v>73</v>
      </c>
      <c r="B14" s="24">
        <f>B13/Assumptions!B31</f>
        <v>469.47330016267523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11583067564.28115</v>
      </c>
    </row>
    <row r="18" spans="1:2" x14ac:dyDescent="0.25">
      <c r="A18" t="s">
        <v>68</v>
      </c>
      <c r="B18" s="18">
        <f>B17*Assumptions!B13</f>
        <v>146130451929.14523</v>
      </c>
    </row>
    <row r="19" spans="1:2" x14ac:dyDescent="0.25">
      <c r="A19" t="s">
        <v>69</v>
      </c>
      <c r="B19" s="18">
        <f>B18/(1+Assumptions!B26)^(10-0.5*Assumptions!B32)</f>
        <v>63772677337.90559</v>
      </c>
    </row>
    <row r="20" spans="1:2" x14ac:dyDescent="0.25">
      <c r="A20" t="s">
        <v>70</v>
      </c>
      <c r="B20" s="18">
        <f>Forecast!B17+B19</f>
        <v>81466755929.28201</v>
      </c>
    </row>
    <row r="21" spans="1:2" x14ac:dyDescent="0.25">
      <c r="A21" t="s">
        <v>71</v>
      </c>
      <c r="B21" s="18">
        <f>-Assumptions!B30</f>
        <v>4585000000</v>
      </c>
    </row>
    <row r="22" spans="1:2" x14ac:dyDescent="0.25">
      <c r="A22" t="s">
        <v>72</v>
      </c>
      <c r="B22" s="18">
        <f>B20+B21</f>
        <v>86051755929.28201</v>
      </c>
    </row>
    <row r="23" spans="1:2" x14ac:dyDescent="0.25">
      <c r="A23" s="19" t="s">
        <v>73</v>
      </c>
      <c r="B23" s="25">
        <f>B22/Assumptions!B31</f>
        <v>555.1726188985937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1150.89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469.47330016267523</v>
      </c>
    </row>
    <row r="29" spans="1:2" x14ac:dyDescent="0.25">
      <c r="A29" s="19" t="s">
        <v>81</v>
      </c>
      <c r="B29" s="11">
        <f>B28/B26-1</f>
        <v>-0.592078043807249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0.071204</v>
      </c>
      <c r="B5" s="31">
        <v>628.5334218837684</v>
      </c>
      <c r="C5" s="31">
        <v>667.441378968584</v>
      </c>
      <c r="D5" s="31">
        <v>715.0914778785572</v>
      </c>
      <c r="E5" s="31">
        <v>774.6662282578338</v>
      </c>
      <c r="F5" s="31">
        <v>851.1062381066221</v>
      </c>
    </row>
    <row r="6" spans="1:6" x14ac:dyDescent="0.25">
      <c r="A6" s="30">
        <v>0.081204</v>
      </c>
      <c r="B6" s="31">
        <v>516.6947714187417</v>
      </c>
      <c r="C6" s="31">
        <v>540.9112056766743</v>
      </c>
      <c r="D6" s="31">
        <v>569.6854351992965</v>
      </c>
      <c r="E6" s="31">
        <v>604.352647256555</v>
      </c>
      <c r="F6" s="31">
        <v>646.8259822263292</v>
      </c>
    </row>
    <row r="7" spans="1:6" x14ac:dyDescent="0.25">
      <c r="A7" s="30">
        <v>0.091204</v>
      </c>
      <c r="B7" s="31">
        <v>435.39159405515824</v>
      </c>
      <c r="C7" s="31">
        <v>451.14253266447844</v>
      </c>
      <c r="D7" s="32">
        <v>469.47231468411746</v>
      </c>
      <c r="E7" s="31">
        <v>491.0129682683594</v>
      </c>
      <c r="F7" s="31">
        <v>516.6214266153577</v>
      </c>
    </row>
    <row r="8" spans="1:6" x14ac:dyDescent="0.25">
      <c r="A8" s="30">
        <v>0.101204</v>
      </c>
      <c r="B8" s="31">
        <v>373.9134696240218</v>
      </c>
      <c r="C8" s="31">
        <v>384.4683515876515</v>
      </c>
      <c r="D8" s="31">
        <v>396.57225407218283</v>
      </c>
      <c r="E8" s="31">
        <v>410.5514973379036</v>
      </c>
      <c r="F8" s="31">
        <v>426.83098186994795</v>
      </c>
    </row>
    <row r="9" spans="1:6" x14ac:dyDescent="0.25">
      <c r="A9" s="30">
        <v>0.111204</v>
      </c>
      <c r="B9" s="31">
        <v>326.0100918332297</v>
      </c>
      <c r="C9" s="31">
        <v>333.22273682773505</v>
      </c>
      <c r="D9" s="31">
        <v>341.40913296072733</v>
      </c>
      <c r="E9" s="31">
        <v>350.7491515079727</v>
      </c>
      <c r="F9" s="31">
        <v>361.4698715757358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20248000000</v>
      </c>
      <c r="C5" s="18">
        <v>7355000000</v>
      </c>
      <c r="D5" s="18">
        <v>6663000000</v>
      </c>
      <c r="E5" s="18">
        <v>6086000000</v>
      </c>
      <c r="F5" s="6" t="s">
        <v>91</v>
      </c>
    </row>
    <row r="6" spans="1:6" x14ac:dyDescent="0.25">
      <c r="A6" t="s">
        <v>51</v>
      </c>
      <c r="B6" s="18">
        <v>12468000000</v>
      </c>
      <c r="C6" s="18">
        <v>507000000</v>
      </c>
      <c r="D6" s="18">
        <v>-444000000</v>
      </c>
      <c r="E6" s="18">
        <v>-1295000000</v>
      </c>
      <c r="F6" s="6" t="s">
        <v>92</v>
      </c>
    </row>
    <row r="7" spans="1:6" x14ac:dyDescent="0.25">
      <c r="A7" t="s">
        <v>93</v>
      </c>
      <c r="B7" s="18">
        <v>149000000</v>
      </c>
      <c r="C7" s="18">
        <v>163000000</v>
      </c>
      <c r="D7" s="18">
        <v>224000000</v>
      </c>
      <c r="E7" s="18">
        <v>448000000</v>
      </c>
      <c r="F7" s="6" t="s">
        <v>94</v>
      </c>
    </row>
    <row r="8" spans="1:6" x14ac:dyDescent="0.25">
      <c r="A8" t="s">
        <v>95</v>
      </c>
      <c r="B8" s="18">
        <v>177000000</v>
      </c>
      <c r="C8" s="18">
        <v>204000000</v>
      </c>
      <c r="D8" s="18">
        <v>166000000</v>
      </c>
      <c r="E8" s="18">
        <v>219000000</v>
      </c>
      <c r="F8" s="6" t="s">
        <v>96</v>
      </c>
    </row>
    <row r="9" spans="1:6" x14ac:dyDescent="0.25">
      <c r="A9" t="s">
        <v>97</v>
      </c>
      <c r="B9" s="18">
        <v>-212000000</v>
      </c>
      <c r="C9" s="18">
        <v>380000000</v>
      </c>
      <c r="D9" s="18">
        <v>86000000</v>
      </c>
      <c r="E9" s="18">
        <v>-197000000</v>
      </c>
      <c r="F9" s="6" t="s">
        <v>98</v>
      </c>
    </row>
    <row r="10" spans="1:6" x14ac:dyDescent="0.25">
      <c r="A10" t="s">
        <v>99</v>
      </c>
      <c r="B10" s="18">
        <v>177000000</v>
      </c>
      <c r="C10" s="18">
        <v>2042000000</v>
      </c>
      <c r="D10" s="18">
        <v>985000000</v>
      </c>
      <c r="E10" s="18">
        <v>0</v>
      </c>
      <c r="F10" s="6" t="s">
        <v>100</v>
      </c>
    </row>
    <row r="11" spans="1:6" x14ac:dyDescent="0.25">
      <c r="A11" t="s">
        <v>101</v>
      </c>
      <c r="B11" s="18">
        <v>4762000000</v>
      </c>
      <c r="C11" s="18">
        <v>1481000000</v>
      </c>
      <c r="D11" s="18">
        <v>328000000</v>
      </c>
      <c r="E11" s="18">
        <v>0</v>
      </c>
      <c r="F11" s="6" t="s">
        <v>102</v>
      </c>
    </row>
    <row r="12" spans="1:6" x14ac:dyDescent="0.25">
      <c r="A12" t="s">
        <v>34</v>
      </c>
      <c r="B12" s="34">
        <v>155000000</v>
      </c>
      <c r="C12" s="34">
        <v>145000000</v>
      </c>
      <c r="D12" s="34">
        <v>145000000</v>
      </c>
      <c r="E12" s="34">
        <v>145000000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