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<sst xmlns="http://schemas.openxmlformats.org/spreadsheetml/2006/main" count="113" uniqueCount="101">
  <si>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Synopsys, Inc. (SNPS)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</si>
  <si>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</si>
  <si>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</si>
  <si>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</si>
  <si>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</si>
  <si>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</si>
  <si>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</si>
  <si>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</si>
  <si>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</si>
  <si>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</si>
  <si>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</si>
  <si>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</si>
  <si>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</si>
  <si>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</si>
  <si>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</si>
  <si>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</si>
  <si>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</si>
  <si>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</si>
  <si>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</si>
  <si>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</si>
  <si>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</si>
  <si>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</si>
  <si>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</si>
  <si>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</si>
  <si>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</si>
  <si>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</si>
  <si>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</si>
  <si>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</si>
  <si>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</si>
  <si>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</si>
  <si>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</si>
  <si>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</si>
  <si>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</si>
  <si>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</si>
  <si>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</si>
  <si>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</si>
  <si>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</si>
  <si>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</si>
  <si>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</si>
  <si>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</si>
  <si>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</si>
  <si>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</si>
  <si>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</si>
  <si>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</si>
  <si>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</si>
  <si>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</si>
  <si>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</si>
  <si>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</si>
  <si>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</si>
  <si>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</si>
  <si>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</si>
  <si>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</si>
  <si>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</si>
  <si>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</si>
  <si>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</si>
  <si>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</si>
  <si>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</si>
  <si>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</si>
  <si>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</si>
  <si>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</si>
  <si>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</si>
  <si>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</si>
  <si>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</si>
  <si>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</si>
  <si>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</si>
  <si>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</si>
  <si>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</si>
  <si>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</si>
  <si>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</si>
  <si>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</si>
  <si>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</si>
  <si>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</si>
  <si>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</si>
  <si>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</si>
  <si>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</si>
  <si>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</si>
  <si>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</si>
  <si>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</si>
  <si>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</si>
  <si>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</si>
  <si>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</si>
  <si>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</si>
  <si>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</si>
  <si>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</si>
  <si>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</si>
  <si>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</si>
  <si>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</si>
  <si>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</si>
  <si>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</si>
  <si>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</si>
  <si>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</si>
  <si>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</si>
  <si>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</si>
  <si>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</si>
  <si>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</si>
  <si>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</si>
  <si>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</si>
  <si>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</si>
  <si>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2.82% of revenue against depreciation and amortisation of 5.94%. A business cannot depreciate more than it invests indefinitely. Capex has been set to 5.94%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</si>
  <si>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54.0x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</si>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</sst>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0.15186745455184925</v>
      </c>
    </row>
    <row r="7" spans="1:2" x14ac:dyDescent="0.25">
      <c r="A7" t="s">
        <v>5</v>
      </c>
      <c r="B7" s="6">
        <v>0.21291429058257685</v>
      </c>
    </row>
    <row r="8" spans="1:2" x14ac:dyDescent="0.25">
      <c r="A8" t="s">
        <v>6</v>
      </c>
      <c r="B8" s="6">
        <v>0.06747740604977313</v>
      </c>
    </row>
    <row r="9" spans="1:2" x14ac:dyDescent="0.25">
      <c r="A9" t="s">
        <v>7</v>
      </c>
      <c r="B9" s="6">
        <v>0.059432487576333064</v>
      </c>
    </row>
    <row r="10" spans="1:2" x14ac:dyDescent="0.25">
      <c r="A10" t="s">
        <v>8</v>
      </c>
      <c r="B10" s="6">
        <v>0.059432487576333064</v>
      </c>
    </row>
    <row r="11" spans="1:2" x14ac:dyDescent="0.25">
      <c r="A11" t="s">
        <v>9</v>
      </c>
      <c r="B11" s="6">
        <v>0.5358481648614177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0.16787000814561584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1.15209</v>
      </c>
      <c r="C19" s="8" t="s">
        <v>19</v>
      </c>
    </row>
    <row r="20" spans="1:2" x14ac:dyDescent="0.25">
      <c r="A20" t="s">
        <v>20</v>
      </c>
      <c r="B20" s="10">
        <f>B17+B19*B18</f>
        <v>0.11334495</v>
      </c>
    </row>
    <row r="21" spans="1:3" x14ac:dyDescent="0.25">
      <c r="A21" t="s">
        <v>21</v>
      </c>
      <c r="B21" s="6">
        <v>0.05965185315006301</v>
      </c>
      <c r="C21" s="8" t="s">
        <v>22</v>
      </c>
    </row>
    <row r="22" spans="1:2" x14ac:dyDescent="0.25">
      <c r="A22" t="s">
        <v>23</v>
      </c>
      <c r="B22" s="11">
        <v>73774358528</v>
      </c>
    </row>
    <row r="23" spans="1:2" x14ac:dyDescent="0.25">
      <c r="A23" t="s">
        <v>24</v>
      </c>
      <c r="B23" s="11">
        <v>14293418000</v>
      </c>
    </row>
    <row r="24" spans="1:2" x14ac:dyDescent="0.25">
      <c r="A24" t="s">
        <v>25</v>
      </c>
      <c r="B24" s="10">
        <f>B22/(B22+B23)</f>
        <v>0.8376997970937123</v>
      </c>
    </row>
    <row r="25" spans="1:2" x14ac:dyDescent="0.25">
      <c r="A25" t="s">
        <v>26</v>
      </c>
      <c r="B25" s="10">
        <f>1-B24</f>
        <v>0.16230020290628766</v>
      </c>
    </row>
    <row r="26" spans="1:2" x14ac:dyDescent="0.25">
      <c r="A26" t="s">
        <v>27</v>
      </c>
      <c r="B26" s="12">
        <f>B24*B20+B25*B21*(1-B8)</f>
        <v>0.10397726644887079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7054178000</v>
      </c>
      <c r="C29" s="8" t="s">
        <v>30</v>
      </c>
    </row>
    <row r="30" spans="1:2" x14ac:dyDescent="0.25">
      <c r="A30" t="s">
        <v>31</v>
      </c>
      <c r="B30" s="11">
        <v>11332459000</v>
      </c>
    </row>
    <row r="31" spans="1:2" x14ac:dyDescent="0.25">
      <c r="A31" t="s">
        <v>32</v>
      </c>
      <c r="B31" s="13">
        <v>165656000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0.15186745455184925</v>
      </c>
      <c r="C5" s="10">
        <f>Assumptions!B6</f>
        <v>0.15186745455184925</v>
      </c>
      <c r="D5" s="10">
        <f>Assumptions!B6</f>
        <v>0.15186745455184925</v>
      </c>
      <c r="E5" s="10">
        <f>Assumptions!B6</f>
        <v>0.15186745455184925</v>
      </c>
      <c r="F5" s="10">
        <f>Assumptions!B6</f>
        <v>0.15186745455184925</v>
      </c>
    </row>
    <row r="6" spans="1:6" x14ac:dyDescent="0.25">
      <c r="A6" t="s">
        <v>43</v>
      </c>
      <c r="B6" s="18">
        <f>Assumptions!B29*(1+B5)</f>
        <v>8125478056.815655</v>
      </c>
      <c r="C6" s="18">
        <f>B6*(1+C5)</f>
        <v>9359473726.321154</v>
      </c>
      <c r="D6" s="18">
        <f>C6*(1+D5)</f>
        <v>10780873177.082458</v>
      </c>
      <c r="E6" s="18">
        <f>D6*(1+E5)</f>
        <v>12418136944.33228</v>
      </c>
      <c r="F6" s="18">
        <f>E6*(1+F5)</f>
        <v>14304047792.344301</v>
      </c>
    </row>
    <row r="7" spans="1:6" x14ac:dyDescent="0.25">
      <c r="A7" t="s">
        <v>5</v>
      </c>
      <c r="B7" s="10">
        <f>Assumptions!B7</f>
        <v>0.21291429058257685</v>
      </c>
      <c r="C7" s="10">
        <f>Assumptions!B7</f>
        <v>0.21291429058257685</v>
      </c>
      <c r="D7" s="10">
        <f>Assumptions!B7</f>
        <v>0.21291429058257685</v>
      </c>
      <c r="E7" s="10">
        <f>Assumptions!B7</f>
        <v>0.21291429058257685</v>
      </c>
      <c r="F7" s="10">
        <f>Assumptions!B7</f>
        <v>0.21291429058257685</v>
      </c>
    </row>
    <row r="8" spans="1:6" x14ac:dyDescent="0.25">
      <c r="A8" t="s">
        <v>44</v>
      </c>
      <c r="B8" s="18">
        <f>B6*B7</f>
        <v>1730030396.1112003</v>
      </c>
      <c r="C8" s="18">
        <f>C6*C7</f>
        <v>1992765708.6659355</v>
      </c>
      <c r="D8" s="18">
        <f>D6*D7</f>
        <v>2295401964.359243</v>
      </c>
      <c r="E8" s="18">
        <f>E6*E7</f>
        <v>2643998817.859796</v>
      </c>
      <c r="F8" s="18">
        <f>F6*F7</f>
        <v>3045536188.1662617</v>
      </c>
    </row>
    <row r="9" spans="1:6" x14ac:dyDescent="0.25">
      <c r="A9" t="s">
        <v>45</v>
      </c>
      <c r="B9" s="18">
        <f>B8*(1-Assumptions!B8)</f>
        <v>1613292432.594355</v>
      </c>
      <c r="C9" s="18">
        <f>C8*(1-Assumptions!B8)</f>
        <v>1858299047.7802203</v>
      </c>
      <c r="D9" s="18">
        <f>D8*(1-Assumptions!B8)</f>
        <v>2140514193.9627273</v>
      </c>
      <c r="E9" s="18">
        <f>E8*(1-Assumptions!B8)</f>
        <v>2465588636.0319505</v>
      </c>
      <c r="F9" s="18">
        <f>F8*(1-Assumptions!B8)</f>
        <v>2840031306.1580887</v>
      </c>
    </row>
    <row r="10" spans="1:6" x14ac:dyDescent="0.25">
      <c r="A10" t="s">
        <v>46</v>
      </c>
      <c r="B10" s="18">
        <f>B6*Assumptions!B9</f>
        <v>482917373.66346335</v>
      </c>
      <c r="C10" s="18">
        <f>C6*Assumptions!B9</f>
        <v>556256805.9605976</v>
      </c>
      <c r="D10" s="18">
        <f>D6*Assumptions!B9</f>
        <v>640734111.1589756</v>
      </c>
      <c r="E10" s="18">
        <f>E6*Assumptions!B9</f>
        <v>738040769.6652309</v>
      </c>
      <c r="F10" s="18">
        <f>F6*Assumptions!B9</f>
        <v>850125142.7097771</v>
      </c>
    </row>
    <row r="11" spans="1:6" x14ac:dyDescent="0.25">
      <c r="A11" t="s">
        <v>47</v>
      </c>
      <c r="B11" s="18">
        <f>-B6*Assumptions!B10</f>
        <v>-482917373.66346335</v>
      </c>
      <c r="C11" s="18">
        <f>-C6*Assumptions!B10</f>
        <v>-556256805.9605976</v>
      </c>
      <c r="D11" s="18">
        <f>-D6*Assumptions!B10</f>
        <v>-640734111.1589756</v>
      </c>
      <c r="E11" s="18">
        <f>-E6*Assumptions!B10</f>
        <v>-738040769.6652309</v>
      </c>
      <c r="F11" s="18">
        <f>-F6*Assumptions!B10</f>
        <v>-850125142.7097771</v>
      </c>
    </row>
    <row r="12" spans="1:6" x14ac:dyDescent="0.25">
      <c r="A12" t="s">
        <v>48</v>
      </c>
      <c r="B12" s="18">
        <f>-(B6-Assumptions!B29)*Assumptions!B11</f>
        <v>-574054169.4606011</v>
      </c>
      <c r="C12" s="18">
        <f>-(C6-B6)*Assumptions!B11</f>
        <v>-661234314.9514581</v>
      </c>
      <c r="D12" s="18">
        <f>-(D6-C6)*Assumptions!B11</f>
        <v>-761654287.2254723</v>
      </c>
      <c r="E12" s="18">
        <f>-(E6-D6)*Assumptions!B11</f>
        <v>-877324785.0749078</v>
      </c>
      <c r="F12" s="18">
        <f>-(F6-E6)*Assumptions!B11</f>
        <v>-1010561866.999482</v>
      </c>
    </row>
    <row r="13" spans="1:6" x14ac:dyDescent="0.25">
      <c r="A13" s="19" t="s">
        <v>49</v>
      </c>
      <c r="B13" s="20">
        <f>B9+B10+B11+B12</f>
        <v>1039238263.133754</v>
      </c>
      <c r="C13" s="20">
        <f>C9+C10+C11+C12</f>
        <v>1197064732.8287625</v>
      </c>
      <c r="D13" s="20">
        <f>D9+D10+D11+D12</f>
        <v>1378859906.737255</v>
      </c>
      <c r="E13" s="20">
        <f>E9+E10+E11+E12</f>
        <v>1588263850.9570427</v>
      </c>
      <c r="F13" s="20">
        <f>F9+F10+F11+F12</f>
        <v>1829469439.1586065</v>
      </c>
    </row>
    <row r="14" spans="1:6" x14ac:dyDescent="0.25">
      <c r="A14" t="s">
        <v>50</v>
      </c>
      <c r="B14" s="21">
        <f>1/(1+Assumptions!$B$26)^(1-0.5*Assumptions!$B$32)</f>
        <v>0.9517435337281991</v>
      </c>
      <c r="C14" s="21">
        <f>1/(1+Assumptions!$B$26)^(2-0.5*Assumptions!$B$32)</f>
        <v>0.862104286612389</v>
      </c>
      <c r="D14" s="21">
        <f>1/(1+Assumptions!$B$26)^(3-0.5*Assumptions!$B$32)</f>
        <v>0.7809076443987772</v>
      </c>
      <c r="E14" s="21">
        <f>1/(1+Assumptions!$B$26)^(4-0.5*Assumptions!$B$32)</f>
        <v>0.7073584467103191</v>
      </c>
      <c r="F14" s="21">
        <f>1/(1+Assumptions!$B$26)^(5-0.5*Assumptions!$B$32)</f>
        <v>0.6407364247505358</v>
      </c>
    </row>
    <row r="15" spans="1:6" x14ac:dyDescent="0.25">
      <c r="A15" s="19" t="s">
        <v>51</v>
      </c>
      <c r="B15" s="20">
        <f>B13*B14</f>
        <v>989088296.9404751</v>
      </c>
      <c r="C15" s="20">
        <f>C13*C14</f>
        <v>1031994637.5241904</v>
      </c>
      <c r="D15" s="20">
        <f>D13*D14</f>
        <v>1076762241.7261076</v>
      </c>
      <c r="E15" s="20">
        <f>E13*E14</f>
        <v>1123471850.5791235</v>
      </c>
      <c r="F15" s="20">
        <f>F13*F14</f>
        <v>1172207707.6368535</v>
      </c>
    </row>
    <row r="17" spans="1:2" x14ac:dyDescent="0.25">
      <c r="A17" s="22" t="s">
        <v>52</v>
      </c>
      <c r="B17" s="23">
        <f>SUM(B15:F15)</f>
        <v>5393524734.40675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1829469439.1586065</v>
      </c>
    </row>
    <row r="5" spans="1:2" x14ac:dyDescent="0.25">
      <c r="A5" t="s">
        <v>56</v>
      </c>
      <c r="B5" s="18">
        <f>IF(Assumptions!$B$33=0,B4,B4-Forecast!F11-Forecast!F10-Forecast!F12)</f>
        <v>2840031306.1580887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0.1489247559832975</v>
      </c>
    </row>
    <row r="7" spans="1:2" x14ac:dyDescent="0.25">
      <c r="A7" t="s">
        <v>58</v>
      </c>
      <c r="B7" s="18">
        <f>-MAX(Forecast!F9,0)*B6</f>
        <v>-422950969.254519</v>
      </c>
    </row>
    <row r="8" spans="1:2" x14ac:dyDescent="0.25">
      <c r="A8" t="s">
        <v>59</v>
      </c>
      <c r="B8" s="18">
        <f>IF(OR(Assumptions!$B$33=0,Assumptions!B12&lt;=0),B5,MAX(B5+B7,0))</f>
        <v>2417080336.9035697</v>
      </c>
    </row>
    <row r="9" spans="1:2" x14ac:dyDescent="0.25">
      <c r="A9" t="s">
        <v>60</v>
      </c>
      <c r="B9" s="18">
        <f>B8*(1+Assumptions!B12)/(Assumptions!B26-Assumptions!B12)</f>
        <v>31369879672.02025</v>
      </c>
    </row>
    <row r="10" spans="1:2" x14ac:dyDescent="0.25">
      <c r="A10" t="s">
        <v>61</v>
      </c>
      <c r="B10" s="18">
        <f>B9/(1+Assumptions!B26)^(5-0.5*Assumptions!B32)</f>
        <v>20099824545.904766</v>
      </c>
    </row>
    <row r="11" spans="1:2" x14ac:dyDescent="0.25">
      <c r="A11" t="s">
        <v>62</v>
      </c>
      <c r="B11" s="18">
        <f>Forecast!B17+B10</f>
        <v>25493349280.311516</v>
      </c>
    </row>
    <row r="12" spans="1:2" x14ac:dyDescent="0.25">
      <c r="A12" t="s">
        <v>63</v>
      </c>
      <c r="B12" s="18">
        <f>-Assumptions!B30</f>
        <v>-11332459000</v>
      </c>
    </row>
    <row r="13" spans="1:2" x14ac:dyDescent="0.25">
      <c r="A13" t="s">
        <v>64</v>
      </c>
      <c r="B13" s="18">
        <f>B11+B12</f>
        <v>14160890280.311516</v>
      </c>
    </row>
    <row r="14" spans="1:2" x14ac:dyDescent="0.25">
      <c r="A14" s="19" t="s">
        <v>65</v>
      </c>
      <c r="B14" s="24">
        <f>B13/Assumptions!B31</f>
        <v>85.48371492919976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3895661330.8760386</v>
      </c>
    </row>
    <row r="18" spans="1:2" x14ac:dyDescent="0.25">
      <c r="A18" t="s">
        <v>60</v>
      </c>
      <c r="B18" s="18">
        <f>B17*Assumptions!B13</f>
        <v>77913226617.52077</v>
      </c>
    </row>
    <row r="19" spans="1:2" x14ac:dyDescent="0.25">
      <c r="A19" t="s">
        <v>61</v>
      </c>
      <c r="B19" s="18">
        <f>B18/(1+Assumptions!B26)^(5-0.5*Assumptions!B32)</f>
        <v>49921842263.68854</v>
      </c>
    </row>
    <row r="20" spans="1:2" x14ac:dyDescent="0.25">
      <c r="A20" t="s">
        <v>62</v>
      </c>
      <c r="B20" s="18">
        <f>Forecast!B17+B19</f>
        <v>55315366998.09529</v>
      </c>
    </row>
    <row r="21" spans="1:2" x14ac:dyDescent="0.25">
      <c r="A21" t="s">
        <v>63</v>
      </c>
      <c r="B21" s="18">
        <f>-Assumptions!B30</f>
        <v>-11332459000</v>
      </c>
    </row>
    <row r="22" spans="1:2" x14ac:dyDescent="0.25">
      <c r="A22" t="s">
        <v>64</v>
      </c>
      <c r="B22" s="18">
        <f>B20+B21</f>
        <v>43982907998.09529</v>
      </c>
    </row>
    <row r="23" spans="1:2" x14ac:dyDescent="0.25">
      <c r="A23" s="19" t="s">
        <v>65</v>
      </c>
      <c r="B23" s="25">
        <f>B22/Assumptions!B31</f>
        <v>265.5074853799156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384.97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85.48371492919976</v>
      </c>
    </row>
    <row r="29" spans="1:2" x14ac:dyDescent="0.25">
      <c r="A29" s="19" t="s">
        <v>73</v>
      </c>
      <c r="B29" s="12">
        <f>B28/B26-1</f>
        <v>-0.7779470739818694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0.083977</v>
      </c>
      <c r="B5" s="31">
        <v>125.55797133123346</v>
      </c>
      <c r="C5" s="31">
        <v>133.2337028394733</v>
      </c>
      <c r="D5" s="31">
        <v>142.1506794004949</v>
      </c>
      <c r="E5" s="31">
        <v>152.65383822443852</v>
      </c>
      <c r="F5" s="31">
        <v>165.22897333592434</v>
      </c>
    </row>
    <row r="6" spans="1:6" x14ac:dyDescent="0.25">
      <c r="A6" s="30">
        <v>0.093977</v>
      </c>
      <c r="B6" s="31">
        <v>98.86152540366317</v>
      </c>
      <c r="C6" s="31">
        <v>103.91856326082743</v>
      </c>
      <c r="D6" s="31">
        <v>109.6593330717395</v>
      </c>
      <c r="E6" s="31">
        <v>116.24414212349043</v>
      </c>
      <c r="F6" s="31">
        <v>123.8876603486401</v>
      </c>
    </row>
    <row r="7" spans="1:6" x14ac:dyDescent="0.25">
      <c r="A7" s="30">
        <v>0.103977</v>
      </c>
      <c r="B7" s="31">
        <v>78.26153597188407</v>
      </c>
      <c r="C7" s="31">
        <v>81.67736538938952</v>
      </c>
      <c r="D7" s="32">
        <v>85.48427637585499</v>
      </c>
      <c r="E7" s="31">
        <v>89.76156686894227</v>
      </c>
      <c r="F7" s="31">
        <v>94.61152737997139</v>
      </c>
    </row>
    <row r="8" spans="1:6" x14ac:dyDescent="0.25">
      <c r="A8" s="30">
        <v>0.113977</v>
      </c>
      <c r="B8" s="31">
        <v>61.90547612510573</v>
      </c>
      <c r="C8" s="31">
        <v>64.24743820212831</v>
      </c>
      <c r="D8" s="31">
        <v>66.81730056424672</v>
      </c>
      <c r="E8" s="31">
        <v>69.65577083707811</v>
      </c>
      <c r="F8" s="31">
        <v>72.81386537551924</v>
      </c>
    </row>
    <row r="9" spans="1:6" x14ac:dyDescent="0.25">
      <c r="A9" s="30">
        <v>0.123977</v>
      </c>
      <c r="B9" s="31">
        <v>48.621057811605525</v>
      </c>
      <c r="C9" s="31">
        <v>50.23681640943535</v>
      </c>
      <c r="D9" s="31">
        <v>51.985329978536335</v>
      </c>
      <c r="E9" s="31">
        <v>53.887788007496994</v>
      </c>
      <c r="F9" s="31">
        <v>55.970142898599796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7054178000</v>
      </c>
      <c r="C5" s="18">
        <v>6127436000</v>
      </c>
      <c r="D5" s="18">
        <v>5318014000</v>
      </c>
      <c r="E5" s="18">
        <v>4615714000</v>
      </c>
      <c r="F5" s="8" t="s">
        <v>84</v>
      </c>
    </row>
    <row r="6" spans="1:6" x14ac:dyDescent="0.25">
      <c r="A6" t="s">
        <v>44</v>
      </c>
      <c r="B6" s="18">
        <v>914927000</v>
      </c>
      <c r="C6" s="18">
        <v>1355711000</v>
      </c>
      <c r="D6" s="18">
        <v>1326330000</v>
      </c>
      <c r="E6" s="18">
        <v>1159935000</v>
      </c>
      <c r="F6" s="8" t="s">
        <v>85</v>
      </c>
    </row>
    <row r="7" spans="1:6" x14ac:dyDescent="0.25">
      <c r="A7" t="s">
        <v>86</v>
      </c>
      <c r="B7" s="18">
        <v>660430000</v>
      </c>
      <c r="C7" s="18">
        <v>295065000</v>
      </c>
      <c r="D7" s="18">
        <v>247120000</v>
      </c>
      <c r="E7" s="18">
        <v>228405000</v>
      </c>
      <c r="F7" s="8" t="s">
        <v>87</v>
      </c>
    </row>
    <row r="8" spans="1:6" x14ac:dyDescent="0.25">
      <c r="A8" t="s">
        <v>88</v>
      </c>
      <c r="B8" s="18">
        <v>169454000</v>
      </c>
      <c r="C8" s="18">
        <v>139500000</v>
      </c>
      <c r="D8" s="18">
        <v>191822000</v>
      </c>
      <c r="E8" s="18">
        <v>139082000</v>
      </c>
      <c r="F8" s="8" t="s">
        <v>89</v>
      </c>
    </row>
    <row r="9" spans="1:6" x14ac:dyDescent="0.25">
      <c r="A9" t="s">
        <v>90</v>
      </c>
      <c r="B9" s="18">
        <v>496593000</v>
      </c>
      <c r="C9" s="18">
        <v>707572000</v>
      </c>
      <c r="D9" s="18">
        <v>327340000</v>
      </c>
      <c r="E9" s="18">
        <v>59335000</v>
      </c>
      <c r="F9" s="8" t="s">
        <v>91</v>
      </c>
    </row>
    <row r="10" spans="1:6" x14ac:dyDescent="0.25">
      <c r="A10" t="s">
        <v>92</v>
      </c>
      <c r="B10" s="18">
        <v>14293418000</v>
      </c>
      <c r="C10" s="18">
        <v>684457000</v>
      </c>
      <c r="D10" s="18">
        <v>677596000</v>
      </c>
      <c r="E10" s="18">
        <v>656371000</v>
      </c>
      <c r="F10" s="8" t="s">
        <v>93</v>
      </c>
    </row>
    <row r="11" spans="1:6" x14ac:dyDescent="0.25">
      <c r="A11" t="s">
        <v>94</v>
      </c>
      <c r="B11" s="18">
        <v>2960959000</v>
      </c>
      <c r="C11" s="18">
        <v>4050401000</v>
      </c>
      <c r="D11" s="18">
        <v>1585605000</v>
      </c>
      <c r="E11" s="18">
        <v>1565521000</v>
      </c>
      <c r="F11" s="8" t="s">
        <v>95</v>
      </c>
    </row>
    <row r="12" spans="1:6" x14ac:dyDescent="0.25">
      <c r="A12" t="s">
        <v>32</v>
      </c>
      <c r="B12" s="34">
        <v>165656000</v>
      </c>
      <c r="C12" s="34">
        <v>155944000</v>
      </c>
      <c r="D12" s="34">
        <v>155195000</v>
      </c>
      <c r="E12" s="34">
        <v>156485000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