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<sst xmlns="http://schemas.openxmlformats.org/spreadsheetml/2006/main" count="121" uniqueCount="108">
  <si>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Synopsys, Inc. (SNPS)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</si>
  <si>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</si>
  <si>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</si>
  <si>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</si>
  <si>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</si>
  <si>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</si>
  <si>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</si>
  <si>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</si>
  <si>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</si>
  <si>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</si>
  <si>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</si>
  <si>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</si>
  <si>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</si>
  <si>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</si>
  <si>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</si>
  <si>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</si>
  <si>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</si>
  <si>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</si>
  <si>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</si>
  <si>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</si>
  <si>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</si>
  <si>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</si>
  <si>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</si>
  <si>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</si>
  <si>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+ 184bp, the spread for a BB rating at 2.0x interest cover. Book interest / average debt was lower, at 6.0%.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</si>
  <si>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</si>
  <si>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</si>
  <si>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</si>
  <si>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</si>
  <si>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</si>
  <si>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</si>
  <si>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</si>
  <si>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</si>
  <si>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</si>
  <si>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</si>
  <si>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</si>
  <si>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</si>
  <si>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</si>
  <si>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</si>
  <si>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</si>
  <si>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</si>
  <si>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</si>
  <si>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</si>
  <si>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</si>
  <si>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</si>
  <si>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</si>
  <si>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</si>
  <si>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</si>
  <si>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</si>
  <si>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</si>
  <si>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</si>
  <si>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</si>
  <si>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</si>
  <si>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</si>
  <si>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</si>
  <si>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</si>
  <si>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</si>
  <si>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</si>
  <si>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</si>
  <si>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</si>
  <si>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</si>
  <si>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</si>
  <si>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</si>
  <si>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</si>
  <si>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</si>
  <si>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</si>
  <si>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</si>
  <si>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</si>
  <si>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</si>
  <si>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</si>
  <si>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</si>
  <si>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</si>
  <si>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</si>
  <si>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</si>
  <si>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</si>
  <si>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</si>
  <si>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</si>
  <si>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</si>
  <si>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</si>
  <si>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</si>
  <si>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</si>
  <si>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</si>
  <si>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</si>
  <si>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</si>
  <si>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</si>
  <si>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</si>
  <si>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</si>
  <si>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</si>
  <si>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</si>
  <si>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</si>
  <si>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</si>
  <si>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</si>
  <si>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</si>
  <si>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</si>
  <si>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</si>
  <si>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</si>
  <si>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</si>
  <si>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</si>
  <si>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</si>
  <si>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</si>
  <si>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</si>
  <si>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</si>
  <si>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</si>
  <si>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</si>
  <si>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</si>
  <si>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2.82% of revenue against depreciation and amortisation of 5.94%. A business cannot depreciate more than it invests indefinitely. Capex has been set to 5.94%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</si>
  <si>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63.9x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</si>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</sst>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0.37813947564124417</v>
      </c>
    </row>
    <row r="7" spans="1:2" x14ac:dyDescent="0.25">
      <c r="A7" t="s">
        <v>4</v>
      </c>
      <c r="B7" s="5">
        <v>0.21291429058257685</v>
      </c>
    </row>
    <row r="8" spans="1:2" x14ac:dyDescent="0.25">
      <c r="A8" t="s">
        <v>5</v>
      </c>
      <c r="B8" s="5">
        <v>0.06747740604977313</v>
      </c>
    </row>
    <row r="9" spans="1:2" x14ac:dyDescent="0.25">
      <c r="A9" t="s">
        <v>6</v>
      </c>
      <c r="B9" s="5">
        <v>0.059432487576333064</v>
      </c>
    </row>
    <row r="10" spans="1:3" x14ac:dyDescent="0.25">
      <c r="A10" t="s">
        <v>7</v>
      </c>
      <c r="B10" s="5">
        <v>0.059432487576333064</v>
      </c>
      <c r="C10" s="6" t="s">
        <v>8</v>
      </c>
    </row>
    <row r="11" spans="1:2" x14ac:dyDescent="0.25">
      <c r="A11" t="s">
        <v>9</v>
      </c>
      <c r="B11" s="5">
        <v>0.19792736858428012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0.16787000814561584</v>
      </c>
      <c r="C14" s="6" t="s">
        <v>13</v>
      </c>
    </row>
    <row r="15" spans="1:3" x14ac:dyDescent="0.25">
      <c r="A15" t="s">
        <v>14</v>
      </c>
      <c r="B15" s="5">
        <v>0.059432487576333064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1.1232799999999998</v>
      </c>
      <c r="C19" s="6" t="s">
        <v>21</v>
      </c>
    </row>
    <row r="20" spans="1:2" x14ac:dyDescent="0.25">
      <c r="A20" t="s">
        <v>22</v>
      </c>
      <c r="B20" s="9">
        <f>B17+B19*B18</f>
        <v>0.096454744</v>
      </c>
    </row>
    <row r="21" spans="1:3" x14ac:dyDescent="0.25">
      <c r="A21" t="s">
        <v>23</v>
      </c>
      <c r="B21" s="5">
        <v>0.06734000000000001</v>
      </c>
      <c r="C21" s="6" t="s">
        <v>24</v>
      </c>
    </row>
    <row r="22" spans="1:2" x14ac:dyDescent="0.25">
      <c r="A22" t="s">
        <v>25</v>
      </c>
      <c r="B22" s="10">
        <v>89317998592</v>
      </c>
    </row>
    <row r="23" spans="1:2" x14ac:dyDescent="0.25">
      <c r="A23" t="s">
        <v>26</v>
      </c>
      <c r="B23" s="10">
        <v>14293418000</v>
      </c>
    </row>
    <row r="24" spans="1:2" x14ac:dyDescent="0.25">
      <c r="A24" t="s">
        <v>27</v>
      </c>
      <c r="B24" s="9">
        <f>B22/(B22+B23)</f>
        <v>0.8620478469444687</v>
      </c>
    </row>
    <row r="25" spans="1:2" x14ac:dyDescent="0.25">
      <c r="A25" t="s">
        <v>28</v>
      </c>
      <c r="B25" s="9">
        <f>1-B24</f>
        <v>0.13795215305553132</v>
      </c>
    </row>
    <row r="26" spans="1:2" x14ac:dyDescent="0.25">
      <c r="A26" t="s">
        <v>29</v>
      </c>
      <c r="B26" s="11">
        <f>B24*B20+B25*B21*(1-B8)</f>
        <v>0.09181145765640705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7054178000</v>
      </c>
      <c r="C29" s="6" t="s">
        <v>32</v>
      </c>
    </row>
    <row r="30" spans="1:2" x14ac:dyDescent="0.25">
      <c r="A30" t="s">
        <v>33</v>
      </c>
      <c r="B30" s="10">
        <v>11332459000</v>
      </c>
    </row>
    <row r="31" spans="1:2" x14ac:dyDescent="0.25">
      <c r="A31" t="s">
        <v>34</v>
      </c>
      <c r="B31" s="12">
        <v>165656000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0.37813947564124417</v>
      </c>
      <c r="C5" s="5">
        <v>0.13184808074951815</v>
      </c>
      <c r="D5" s="5">
        <v>0.11849207065582838</v>
      </c>
      <c r="E5" s="5">
        <v>0.10513606056213862</v>
      </c>
      <c r="F5" s="5">
        <v>0.09178005046844884</v>
      </c>
      <c r="G5" s="5">
        <v>0.07842404037475907</v>
      </c>
      <c r="H5" s="5">
        <v>0.0650680302810693</v>
      </c>
      <c r="I5" s="5">
        <v>0.051712020187379526</v>
      </c>
      <c r="J5" s="5">
        <v>0.03835601009368976</v>
      </c>
      <c r="K5" s="5">
        <v>0.024999999999999994</v>
      </c>
    </row>
    <row r="6" spans="1:11" x14ac:dyDescent="0.25">
      <c r="A6" t="s">
        <v>50</v>
      </c>
      <c r="B6" s="18">
        <f>Assumptions!B29*(1+B5)</f>
        <v>9721641170</v>
      </c>
      <c r="C6" s="18">
        <f>B6*(1+C5)</f>
        <v>11003420900</v>
      </c>
      <c r="D6" s="18">
        <f>C6*(1+D5)</f>
        <v>12307239026.738619</v>
      </c>
      <c r="E6" s="18">
        <f>D6*(1+E5)</f>
        <v>13601173654.406525</v>
      </c>
      <c r="F6" s="18">
        <f>E6*(1+F5)</f>
        <v>14849490058.838093</v>
      </c>
      <c r="G6" s="18">
        <f>F6*(1+G5)</f>
        <v>16014047066.756996</v>
      </c>
      <c r="H6" s="18">
        <f>G6*(1+H5)</f>
        <v>17056049566.21921</v>
      </c>
      <c r="I6" s="18">
        <f>H6*(1+I5)</f>
        <v>17938052345.704483</v>
      </c>
      <c r="J6" s="18">
        <f>I6*(1+J5)</f>
        <v>18626084462.53746</v>
      </c>
      <c r="K6" s="18">
        <f>J6*(1+K5)</f>
        <v>19091736574.100895</v>
      </c>
    </row>
    <row r="7" spans="1:11" x14ac:dyDescent="0.25">
      <c r="A7" t="s">
        <v>4</v>
      </c>
      <c r="B7" s="9">
        <f>Assumptions!B7</f>
        <v>0.21291429058257685</v>
      </c>
      <c r="C7" s="9">
        <f>Assumptions!B7</f>
        <v>0.21291429058257685</v>
      </c>
      <c r="D7" s="9">
        <f>Assumptions!B7</f>
        <v>0.21291429058257685</v>
      </c>
      <c r="E7" s="9">
        <f>Assumptions!B7</f>
        <v>0.21291429058257685</v>
      </c>
      <c r="F7" s="9">
        <f>Assumptions!B7</f>
        <v>0.21291429058257685</v>
      </c>
      <c r="G7" s="9">
        <f>Assumptions!B7</f>
        <v>0.21291429058257685</v>
      </c>
      <c r="H7" s="9">
        <f>Assumptions!B7</f>
        <v>0.21291429058257685</v>
      </c>
      <c r="I7" s="9">
        <f>Assumptions!B7</f>
        <v>0.21291429058257685</v>
      </c>
      <c r="J7" s="9">
        <f>Assumptions!B7</f>
        <v>0.21291429058257685</v>
      </c>
      <c r="K7" s="9">
        <f>Assumptions!B7</f>
        <v>0.21291429058257685</v>
      </c>
    </row>
    <row r="8" spans="1:11" x14ac:dyDescent="0.25">
      <c r="A8" t="s">
        <v>51</v>
      </c>
      <c r="B8" s="18">
        <f>B6*B7</f>
        <v>2069876333.0089223</v>
      </c>
      <c r="C8" s="18">
        <f>C6*C7</f>
        <v>2342785554.9049993</v>
      </c>
      <c r="D8" s="18">
        <f>D6*D7</f>
        <v>2620387066.4082565</v>
      </c>
      <c r="E8" s="18">
        <f>E6*E7</f>
        <v>2895884239.7183995</v>
      </c>
      <c r="F8" s="18">
        <f>F6*F7</f>
        <v>3161668641.39054</v>
      </c>
      <c r="G8" s="18">
        <f>G6*G7</f>
        <v>3409619470.5745616</v>
      </c>
      <c r="H8" s="18">
        <f>H6*H7</f>
        <v>3631476693.5328307</v>
      </c>
      <c r="I8" s="18">
        <f>I6*I7</f>
        <v>3819267689.6187987</v>
      </c>
      <c r="J8" s="18">
        <f>J6*J7</f>
        <v>3965759559.672321</v>
      </c>
      <c r="K8" s="18">
        <f>K6*K7</f>
        <v>4064903548.6641283</v>
      </c>
    </row>
    <row r="9" spans="1:11" x14ac:dyDescent="0.25">
      <c r="A9" t="s">
        <v>52</v>
      </c>
      <c r="B9" s="18">
        <f>B8*(1-Assumptions!B8)</f>
        <v>1930206447.2136638</v>
      </c>
      <c r="C9" s="18">
        <f>C8*(1-Assumptions!B8)</f>
        <v>2184700462.7291317</v>
      </c>
      <c r="D9" s="18">
        <f>D8*(1-Assumptions!B8)</f>
        <v>2443570144.320653</v>
      </c>
      <c r="E9" s="18">
        <f>E8*(1-Assumptions!B8)</f>
        <v>2700477483.0017824</v>
      </c>
      <c r="F9" s="18">
        <f>F8*(1-Assumptions!B8)</f>
        <v>2948327442.680596</v>
      </c>
      <c r="G9" s="18">
        <f>G8*(1-Assumptions!B8)</f>
        <v>3179547193.0833893</v>
      </c>
      <c r="H9" s="18">
        <f>H8*(1-Assumptions!B8)</f>
        <v>3386434066.1230283</v>
      </c>
      <c r="I9" s="18">
        <f>I8*(1-Assumptions!B8)</f>
        <v>3561553412.913612</v>
      </c>
      <c r="J9" s="18">
        <f>J8*(1-Assumptions!B8)</f>
        <v>3698160391.568542</v>
      </c>
      <c r="K9" s="18">
        <f>K8*(1-Assumptions!B8)</f>
        <v>3790614401.357755</v>
      </c>
    </row>
    <row r="10" spans="1:11" x14ac:dyDescent="0.25">
      <c r="A10" t="s">
        <v>53</v>
      </c>
      <c r="B10" s="18">
        <f>B6*Assumptions!B9</f>
        <v>577781318.057593</v>
      </c>
      <c r="C10" s="18">
        <f>C6*Assumptions!B9</f>
        <v>653960675.9364135</v>
      </c>
      <c r="D10" s="18">
        <f>D6*Assumptions!B9</f>
        <v>731449830.5556043</v>
      </c>
      <c r="E10" s="18">
        <f>E6*Assumptions!B9</f>
        <v>808351584.2390643</v>
      </c>
      <c r="F10" s="18">
        <f>F6*Assumptions!B9</f>
        <v>882542133.4367763</v>
      </c>
      <c r="G10" s="18">
        <f>G6*Assumptions!B9</f>
        <v>951754653.3418481</v>
      </c>
      <c r="H10" s="18">
        <f>H6*Assumptions!B9</f>
        <v>1013683453.9456441</v>
      </c>
      <c r="I10" s="18">
        <f>I6*Assumptions!B9</f>
        <v>1066103073.1796938</v>
      </c>
      <c r="J10" s="18">
        <f>J6*Assumptions!B9</f>
        <v>1106994533.415488</v>
      </c>
      <c r="K10" s="18">
        <f>K6*Assumptions!B9</f>
        <v>1134669396.750875</v>
      </c>
    </row>
    <row r="11" spans="1:11" x14ac:dyDescent="0.25">
      <c r="A11" t="s">
        <v>54</v>
      </c>
      <c r="B11" s="18">
        <f>-B6*B19</f>
        <v>-577781318.057593</v>
      </c>
      <c r="C11" s="18">
        <f>-C6*C19</f>
        <v>-690111340.7484728</v>
      </c>
      <c r="D11" s="18">
        <f>-D6*D19</f>
        <v>-812318294.4380541</v>
      </c>
      <c r="E11" s="18">
        <f>-E6*E19</f>
        <v>-942407567.6372076</v>
      </c>
      <c r="F11" s="18">
        <f>-F6*F19</f>
        <v>-1077688331.1968062</v>
      </c>
      <c r="G11" s="18">
        <f>-G6*G19</f>
        <v>-1214817592.157027</v>
      </c>
      <c r="H11" s="18">
        <f>-H6*H19</f>
        <v>-1349899365.2462425</v>
      </c>
      <c r="I11" s="18">
        <f>-I6*I19</f>
        <v>-1478639107.6883028</v>
      </c>
      <c r="J11" s="18">
        <f>-J6*J19</f>
        <v>-1596547985.7723246</v>
      </c>
      <c r="K11" s="18">
        <f>-K6*K19</f>
        <v>-1699185721.499852</v>
      </c>
    </row>
    <row r="12" spans="1:11" x14ac:dyDescent="0.25">
      <c r="A12" t="s">
        <v>55</v>
      </c>
      <c r="B12" s="18">
        <f>-(B6-Assumptions!B29)*Assumptions!B11</f>
        <v>-527963966.03358227</v>
      </c>
      <c r="C12" s="18">
        <f>-(C6-B6)*Assumptions!B11</f>
        <v>-253699289.06356904</v>
      </c>
      <c r="D12" s="18">
        <f>-(D6-C6)*Assumptions!B11</f>
        <v>-258061290.93786025</v>
      </c>
      <c r="E12" s="18">
        <f>-(E6-D6)*Assumptions!B11</f>
        <v>-256105075.97438884</v>
      </c>
      <c r="F12" s="18">
        <f>-(F6-E6)*Assumptions!B11</f>
        <v>-247075981.08973026</v>
      </c>
      <c r="G12" s="18">
        <f>-(G6-F6)*Assumptions!B11</f>
        <v>-230497704.1437712</v>
      </c>
      <c r="H12" s="18">
        <f>-(H6-G6)*Assumptions!B11</f>
        <v>-206240812.77679867</v>
      </c>
      <c r="I12" s="18">
        <f>-(I6-H6)*Assumptions!B11</f>
        <v>-174572489.22754124</v>
      </c>
      <c r="J12" s="18">
        <f>-(J6-I6)*Assumptions!B11</f>
        <v>-136180386.38622317</v>
      </c>
      <c r="K12" s="18">
        <f>-(K6-J6)*Assumptions!B11</f>
        <v>-92165297.11746424</v>
      </c>
    </row>
    <row r="13" spans="1:11" x14ac:dyDescent="0.25">
      <c r="A13" s="19" t="s">
        <v>56</v>
      </c>
      <c r="B13" s="20">
        <f>B9+B10+B11+B12</f>
        <v>1402242481.1800818</v>
      </c>
      <c r="C13" s="20">
        <f>C9+C10+C11+C12</f>
        <v>1894850508.8535037</v>
      </c>
      <c r="D13" s="20">
        <f>D9+D10+D11+D12</f>
        <v>2104640389.500343</v>
      </c>
      <c r="E13" s="20">
        <f>E9+E10+E11+E12</f>
        <v>2310316423.6292505</v>
      </c>
      <c r="F13" s="20">
        <f>F9+F10+F11+F12</f>
        <v>2506105263.8308353</v>
      </c>
      <c r="G13" s="20">
        <f>G9+G10+G11+G12</f>
        <v>2685986550.1244392</v>
      </c>
      <c r="H13" s="20">
        <f>H9+H10+H11+H12</f>
        <v>2843977342.045631</v>
      </c>
      <c r="I13" s="20">
        <f>I9+I10+I11+I12</f>
        <v>2974444889.177461</v>
      </c>
      <c r="J13" s="20">
        <f>J9+J10+J11+J12</f>
        <v>3072426552.825482</v>
      </c>
      <c r="K13" s="20">
        <f>K9+K10+K11+K12</f>
        <v>3133932779.491314</v>
      </c>
    </row>
    <row r="14" spans="1:11" x14ac:dyDescent="0.25">
      <c r="A14" t="s">
        <v>57</v>
      </c>
      <c r="B14" s="21">
        <f>1/(1+Assumptions!$B$26)^(1-0.5*Assumptions!$B$32)</f>
        <v>0.9570313759825677</v>
      </c>
      <c r="C14" s="21">
        <f>1/(1+Assumptions!$B$26)^(2-0.5*Assumptions!$B$32)</f>
        <v>0.8765537028131696</v>
      </c>
      <c r="D14" s="21">
        <f>1/(1+Assumptions!$B$26)^(3-0.5*Assumptions!$B$32)</f>
        <v>0.8028434732629642</v>
      </c>
      <c r="E14" s="21">
        <f>1/(1+Assumptions!$B$26)^(4-0.5*Assumptions!$B$32)</f>
        <v>0.7353316066001745</v>
      </c>
      <c r="F14" s="21">
        <f>1/(1+Assumptions!$B$26)^(5-0.5*Assumptions!$B$32)</f>
        <v>0.673496876629759</v>
      </c>
      <c r="G14" s="21">
        <f>1/(1+Assumptions!$B$26)^(6-0.5*Assumptions!$B$32)</f>
        <v>0.6168618875601765</v>
      </c>
      <c r="H14" s="21">
        <f>1/(1+Assumptions!$B$26)^(7-0.5*Assumptions!$B$32)</f>
        <v>0.5649893882633193</v>
      </c>
      <c r="I14" s="21">
        <f>1/(1+Assumptions!$B$26)^(8-0.5*Assumptions!$B$32)</f>
        <v>0.5174788964718132</v>
      </c>
      <c r="J14" s="21">
        <f>1/(1+Assumptions!$B$26)^(9-0.5*Assumptions!$B$32)</f>
        <v>0.47396360685075695</v>
      </c>
      <c r="K14" s="21">
        <f>1/(1+Assumptions!$B$26)^(10-0.5*Assumptions!$B$32)</f>
        <v>0.4341075590726336</v>
      </c>
    </row>
    <row r="15" spans="1:11" x14ac:dyDescent="0.25">
      <c r="A15" s="19" t="s">
        <v>58</v>
      </c>
      <c r="B15" s="20">
        <f>B13*B14</f>
        <v>1341990051.2249835</v>
      </c>
      <c r="C15" s="20">
        <f>C13*C14</f>
        <v>1660938229.8129573</v>
      </c>
      <c r="D15" s="20">
        <f>D13*D14</f>
        <v>1689696800.2759733</v>
      </c>
      <c r="E15" s="20">
        <f>E13*E14</f>
        <v>1698848687.542066</v>
      </c>
      <c r="F15" s="20">
        <f>F13*F14</f>
        <v>1687854067.6954658</v>
      </c>
      <c r="G15" s="20">
        <f>G13*G14</f>
        <v>1656882733.271008</v>
      </c>
      <c r="H15" s="20">
        <f>H13*H14</f>
        <v>1606817018.717102</v>
      </c>
      <c r="I15" s="20">
        <f>I13*I14</f>
        <v>1539212458.8677773</v>
      </c>
      <c r="J15" s="20">
        <f>J13*J14</f>
        <v>1456218370.761203</v>
      </c>
      <c r="K15" s="20">
        <f>K13*K14</f>
        <v>1360463909.2026885</v>
      </c>
    </row>
    <row r="17" spans="1:2" x14ac:dyDescent="0.25">
      <c r="A17" s="22" t="s">
        <v>59</v>
      </c>
      <c r="B17" s="23">
        <f>SUM(B15:K15)</f>
        <v>15698922327.371225</v>
      </c>
    </row>
    <row r="19" spans="1:11" x14ac:dyDescent="0.25">
      <c r="A19" t="s">
        <v>7</v>
      </c>
      <c r="B19" s="9">
        <f>Assumptions!$B$10+($B$20-Assumptions!$B$10)*0/9</f>
        <v>0.059432487576333064</v>
      </c>
      <c r="C19" s="9">
        <f>Assumptions!$B$10+($B$20-Assumptions!$B$10)*1/9</f>
        <v>0.06271788991989508</v>
      </c>
      <c r="D19" s="9">
        <f>Assumptions!$B$10+($B$20-Assumptions!$B$10)*2/9</f>
        <v>0.06600329226345708</v>
      </c>
      <c r="E19" s="9">
        <f>Assumptions!$B$10+($B$20-Assumptions!$B$10)*3/9</f>
        <v>0.0692886946070191</v>
      </c>
      <c r="F19" s="9">
        <f>Assumptions!$B$10+($B$20-Assumptions!$B$10)*4/9</f>
        <v>0.07257409695058112</v>
      </c>
      <c r="G19" s="9">
        <f>Assumptions!$B$10+($B$20-Assumptions!$B$10)*5/9</f>
        <v>0.07585949929414312</v>
      </c>
      <c r="H19" s="9">
        <f>Assumptions!$B$10+($B$20-Assumptions!$B$10)*6/9</f>
        <v>0.07914490163770513</v>
      </c>
      <c r="I19" s="9">
        <f>Assumptions!$B$10+($B$20-Assumptions!$B$10)*7/9</f>
        <v>0.08243030398126715</v>
      </c>
      <c r="J19" s="9">
        <f>Assumptions!$B$10+($B$20-Assumptions!$B$10)*8/9</f>
        <v>0.08571570632482917</v>
      </c>
      <c r="K19" s="9">
        <f>Assumptions!$B$10+($B$20-Assumptions!$B$10)*9/9</f>
        <v>0.08900110866839117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0.08900110866839117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3133932779.491314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3790614401.357755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0.1489247559832975</v>
      </c>
    </row>
    <row r="7" spans="1:2" x14ac:dyDescent="0.25">
      <c r="A7" t="s">
        <v>66</v>
      </c>
      <c r="B7" s="18">
        <f>-MAX(B5,0)*B6</f>
        <v>-564516324.748977</v>
      </c>
    </row>
    <row r="8" spans="1:2" x14ac:dyDescent="0.25">
      <c r="A8" t="s">
        <v>67</v>
      </c>
      <c r="B8" s="18">
        <f>IF(OR(Assumptions!$B$33=0,Assumptions!B12&lt;=0),B5,MAX(B5+B7,0))</f>
        <v>3226098076.608778</v>
      </c>
    </row>
    <row r="9" spans="1:2" x14ac:dyDescent="0.25">
      <c r="A9" t="s">
        <v>68</v>
      </c>
      <c r="B9" s="18">
        <f>B8*(1+Assumptions!B12)/(Assumptions!B26-Assumptions!B12)</f>
        <v>49493764161.37641</v>
      </c>
    </row>
    <row r="10" spans="1:2" x14ac:dyDescent="0.25">
      <c r="A10" t="s">
        <v>69</v>
      </c>
      <c r="B10" s="18">
        <f>B9/(1+Assumptions!B26)^(10-0.5*Assumptions!B32)</f>
        <v>21485617149.411705</v>
      </c>
    </row>
    <row r="11" spans="1:2" x14ac:dyDescent="0.25">
      <c r="A11" t="s">
        <v>70</v>
      </c>
      <c r="B11" s="18">
        <f>Forecast!B17+B10</f>
        <v>37184539476.78293</v>
      </c>
    </row>
    <row r="12" spans="1:2" x14ac:dyDescent="0.25">
      <c r="A12" t="s">
        <v>71</v>
      </c>
      <c r="B12" s="18">
        <f>-Assumptions!B30</f>
        <v>-11332459000</v>
      </c>
    </row>
    <row r="13" spans="1:2" x14ac:dyDescent="0.25">
      <c r="A13" t="s">
        <v>72</v>
      </c>
      <c r="B13" s="18">
        <f>B11+B12</f>
        <v>25852080476.78293</v>
      </c>
    </row>
    <row r="14" spans="1:2" x14ac:dyDescent="0.25">
      <c r="A14" s="19" t="s">
        <v>73</v>
      </c>
      <c r="B14" s="24">
        <f>B13/Assumptions!B31</f>
        <v>156.0588235668067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5199572945.415003</v>
      </c>
    </row>
    <row r="18" spans="1:2" x14ac:dyDescent="0.25">
      <c r="A18" t="s">
        <v>68</v>
      </c>
      <c r="B18" s="18">
        <f>B17*Assumptions!B13</f>
        <v>103991458908.30005</v>
      </c>
    </row>
    <row r="19" spans="1:2" x14ac:dyDescent="0.25">
      <c r="A19" t="s">
        <v>69</v>
      </c>
      <c r="B19" s="18">
        <f>B18/(1+Assumptions!B26)^(10-0.5*Assumptions!B32)</f>
        <v>45143478391.08421</v>
      </c>
    </row>
    <row r="20" spans="1:2" x14ac:dyDescent="0.25">
      <c r="A20" t="s">
        <v>70</v>
      </c>
      <c r="B20" s="18">
        <f>Forecast!B17+B19</f>
        <v>60842400718.45544</v>
      </c>
    </row>
    <row r="21" spans="1:2" x14ac:dyDescent="0.25">
      <c r="A21" t="s">
        <v>71</v>
      </c>
      <c r="B21" s="18">
        <f>-Assumptions!B30</f>
        <v>-11332459000</v>
      </c>
    </row>
    <row r="22" spans="1:2" x14ac:dyDescent="0.25">
      <c r="A22" t="s">
        <v>72</v>
      </c>
      <c r="B22" s="18">
        <f>B20+B21</f>
        <v>49509941718.45544</v>
      </c>
    </row>
    <row r="23" spans="1:2" x14ac:dyDescent="0.25">
      <c r="A23" s="19" t="s">
        <v>73</v>
      </c>
      <c r="B23" s="25">
        <f>B22/Assumptions!B31</f>
        <v>298.872010180467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466.08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156.0588235668067</v>
      </c>
    </row>
    <row r="29" spans="1:2" x14ac:dyDescent="0.25">
      <c r="A29" s="19" t="s">
        <v>81</v>
      </c>
      <c r="B29" s="11">
        <f>B28/B26-1</f>
        <v>-0.6651673026802122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0.071811</v>
      </c>
      <c r="B5" s="31">
        <v>231.92465761955958</v>
      </c>
      <c r="C5" s="31">
        <v>242.74053552562992</v>
      </c>
      <c r="D5" s="31">
        <v>256.19171497961236</v>
      </c>
      <c r="E5" s="31">
        <v>273.22362955685037</v>
      </c>
      <c r="F5" s="31">
        <v>295.2953818856027</v>
      </c>
    </row>
    <row r="6" spans="1:6" x14ac:dyDescent="0.25">
      <c r="A6" s="30">
        <v>0.081811</v>
      </c>
      <c r="B6" s="31">
        <v>184.2824524575875</v>
      </c>
      <c r="C6" s="31">
        <v>190.12590935942248</v>
      </c>
      <c r="D6" s="31">
        <v>197.25070114524075</v>
      </c>
      <c r="E6" s="31">
        <v>206.02779195894536</v>
      </c>
      <c r="F6" s="31">
        <v>216.98664037690256</v>
      </c>
    </row>
    <row r="7" spans="1:6" x14ac:dyDescent="0.25">
      <c r="A7" s="30">
        <v>0.091811</v>
      </c>
      <c r="B7" s="31">
        <v>149.1999974215082</v>
      </c>
      <c r="C7" s="31">
        <v>152.29685795324224</v>
      </c>
      <c r="D7" s="32">
        <v>156.06042418097854</v>
      </c>
      <c r="E7" s="31">
        <v>160.65248907748975</v>
      </c>
      <c r="F7" s="31">
        <v>166.2918039414965</v>
      </c>
    </row>
    <row r="8" spans="1:6" x14ac:dyDescent="0.25">
      <c r="A8" s="30">
        <v>0.101811</v>
      </c>
      <c r="B8" s="31">
        <v>122.32687840133497</v>
      </c>
      <c r="C8" s="31">
        <v>123.82309253926493</v>
      </c>
      <c r="D8" s="31">
        <v>125.68130879971137</v>
      </c>
      <c r="E8" s="31">
        <v>127.97714278248154</v>
      </c>
      <c r="F8" s="31">
        <v>130.80884576109096</v>
      </c>
    </row>
    <row r="9" spans="1:6" x14ac:dyDescent="0.25">
      <c r="A9" s="30">
        <v>0.111811</v>
      </c>
      <c r="B9" s="31">
        <v>101.1109469103155</v>
      </c>
      <c r="C9" s="31">
        <v>101.6408296688658</v>
      </c>
      <c r="D9" s="31">
        <v>102.37184728470257</v>
      </c>
      <c r="E9" s="31">
        <v>103.34087771872733</v>
      </c>
      <c r="F9" s="31">
        <v>104.59440119216887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7054178000</v>
      </c>
      <c r="C5" s="18">
        <v>6127436000</v>
      </c>
      <c r="D5" s="18">
        <v>5318014000</v>
      </c>
      <c r="E5" s="18">
        <v>4615714000</v>
      </c>
      <c r="F5" s="6" t="s">
        <v>91</v>
      </c>
    </row>
    <row r="6" spans="1:6" x14ac:dyDescent="0.25">
      <c r="A6" t="s">
        <v>51</v>
      </c>
      <c r="B6" s="18">
        <v>914927000</v>
      </c>
      <c r="C6" s="18">
        <v>1355711000</v>
      </c>
      <c r="D6" s="18">
        <v>1326330000</v>
      </c>
      <c r="E6" s="18">
        <v>1159935000</v>
      </c>
      <c r="F6" s="6" t="s">
        <v>92</v>
      </c>
    </row>
    <row r="7" spans="1:6" x14ac:dyDescent="0.25">
      <c r="A7" t="s">
        <v>93</v>
      </c>
      <c r="B7" s="18">
        <v>660430000</v>
      </c>
      <c r="C7" s="18">
        <v>295065000</v>
      </c>
      <c r="D7" s="18">
        <v>247120000</v>
      </c>
      <c r="E7" s="18">
        <v>228405000</v>
      </c>
      <c r="F7" s="6" t="s">
        <v>94</v>
      </c>
    </row>
    <row r="8" spans="1:6" x14ac:dyDescent="0.25">
      <c r="A8" t="s">
        <v>95</v>
      </c>
      <c r="B8" s="18">
        <v>169454000</v>
      </c>
      <c r="C8" s="18">
        <v>139500000</v>
      </c>
      <c r="D8" s="18">
        <v>191822000</v>
      </c>
      <c r="E8" s="18">
        <v>139082000</v>
      </c>
      <c r="F8" s="6" t="s">
        <v>96</v>
      </c>
    </row>
    <row r="9" spans="1:6" x14ac:dyDescent="0.25">
      <c r="A9" t="s">
        <v>97</v>
      </c>
      <c r="B9" s="18">
        <v>496593000</v>
      </c>
      <c r="C9" s="18">
        <v>707572000</v>
      </c>
      <c r="D9" s="18">
        <v>327340000</v>
      </c>
      <c r="E9" s="18">
        <v>59335000</v>
      </c>
      <c r="F9" s="6" t="s">
        <v>98</v>
      </c>
    </row>
    <row r="10" spans="1:6" x14ac:dyDescent="0.25">
      <c r="A10" t="s">
        <v>99</v>
      </c>
      <c r="B10" s="18">
        <v>14293418000</v>
      </c>
      <c r="C10" s="18">
        <v>684457000</v>
      </c>
      <c r="D10" s="18">
        <v>677596000</v>
      </c>
      <c r="E10" s="18">
        <v>656371000</v>
      </c>
      <c r="F10" s="6" t="s">
        <v>100</v>
      </c>
    </row>
    <row r="11" spans="1:6" x14ac:dyDescent="0.25">
      <c r="A11" t="s">
        <v>101</v>
      </c>
      <c r="B11" s="18">
        <v>2960959000</v>
      </c>
      <c r="C11" s="18">
        <v>4050401000</v>
      </c>
      <c r="D11" s="18">
        <v>1585605000</v>
      </c>
      <c r="E11" s="18">
        <v>1565521000</v>
      </c>
      <c r="F11" s="6" t="s">
        <v>102</v>
      </c>
    </row>
    <row r="12" spans="1:6" x14ac:dyDescent="0.25">
      <c r="A12" t="s">
        <v>34</v>
      </c>
      <c r="B12" s="34">
        <v>165656000</v>
      </c>
      <c r="C12" s="34">
        <v>155944000</v>
      </c>
      <c r="D12" s="34">
        <v>155195000</v>
      </c>
      <c r="E12" s="34">
        <v>156485000</v>
      </c>
      <c r="F12" s="6" t="s">
        <v>103</v>
      </c>
    </row>
    <row r="15" spans="1:1" x14ac:dyDescent="0.25">
      <c r="A15" s="19" t="s">
        <v>104</v>
      </c>
    </row>
    <row r="16" ht="70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