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<sst xmlns="http://schemas.openxmlformats.org/spreadsheetml/2006/main" count="120" uniqueCount="107">
  <si>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The Southern Company (SO)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</si>
  <si>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</si>
  <si>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</si>
  <si>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</si>
  <si>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</si>
  <si>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</si>
  <si>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</si>
  <si>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</si>
  <si>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</si>
  <si>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</si>
  <si>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</si>
  <si>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</si>
  <si>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</si>
  <si>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</si>
  <si>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</si>
  <si>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</si>
  <si>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</si>
  <si>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</si>
  <si>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</si>
  <si>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</si>
  <si>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</si>
  <si>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</si>
  <si>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</si>
  <si>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</si>
  <si>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2.2x interest cover. Book interest / average debt was lower, at 4.6%.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</si>
  <si>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</si>
  <si>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</si>
  <si>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</si>
  <si>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</si>
  <si>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</si>
  <si>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</si>
  <si>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</si>
  <si>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</si>
  <si>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</si>
  <si>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</si>
  <si>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</si>
  <si>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</si>
  <si>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</si>
  <si>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</si>
  <si>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</si>
  <si>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</si>
  <si>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</si>
  <si>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</si>
  <si>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</si>
  <si>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</si>
  <si>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</si>
  <si>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</si>
  <si>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</si>
  <si>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</si>
  <si>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</si>
  <si>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</si>
  <si>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</si>
  <si>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</si>
  <si>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</si>
  <si>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</si>
  <si>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</si>
  <si>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</si>
  <si>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</si>
  <si>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</si>
  <si>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</si>
  <si>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</si>
  <si>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</si>
  <si>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</si>
  <si>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</si>
  <si>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</si>
  <si>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</si>
  <si>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</si>
  <si>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</si>
  <si>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</si>
  <si>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</si>
  <si>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</si>
  <si>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</si>
  <si>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</si>
  <si>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</si>
  <si>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</si>
  <si>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</si>
  <si>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</si>
  <si>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</si>
  <si>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</si>
  <si>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</si>
  <si>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</si>
  <si>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</si>
  <si>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</si>
  <si>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</si>
  <si>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</si>
  <si>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</si>
  <si>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</si>
  <si>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</si>
  <si>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</si>
  <si>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</si>
  <si>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</si>
  <si>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</si>
  <si>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</si>
  <si>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</si>
  <si>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</si>
  <si>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</si>
  <si>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</si>
  <si>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</si>
  <si>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</si>
  <si>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</si>
  <si>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</si>
  <si>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</si>
  <si>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</si>
  <si>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</si>
  <si>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</si>
  <si>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34.9% of revenue against depreciation of 18.4%.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</si>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</sst>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0.04490638480018938</v>
      </c>
    </row>
    <row r="7" spans="1:2" x14ac:dyDescent="0.25">
      <c r="A7" t="s">
        <v>4</v>
      </c>
      <c r="B7" s="5">
        <v>0.23127520198502022</v>
      </c>
    </row>
    <row r="8" spans="1:2" x14ac:dyDescent="0.25">
      <c r="A8" t="s">
        <v>5</v>
      </c>
      <c r="B8" s="5">
        <v>0.175472902956954</v>
      </c>
    </row>
    <row r="9" spans="1:2" x14ac:dyDescent="0.25">
      <c r="A9" t="s">
        <v>6</v>
      </c>
      <c r="B9" s="5">
        <v>0.18433399535223846</v>
      </c>
    </row>
    <row r="10" spans="1:3" x14ac:dyDescent="0.25">
      <c r="A10" t="s">
        <v>7</v>
      </c>
      <c r="B10" s="5">
        <v>0.34920979478025926</v>
      </c>
      <c r="C10" s="6" t="s">
        <v>8</v>
      </c>
    </row>
    <row r="11" spans="1:2" x14ac:dyDescent="0.25">
      <c r="A11" t="s">
        <v>9</v>
      </c>
      <c r="B11" s="5">
        <v>0.06717948047065776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13.536351382350732</v>
      </c>
    </row>
    <row r="14" spans="1:3" x14ac:dyDescent="0.25">
      <c r="A14" t="s">
        <v>12</v>
      </c>
      <c r="B14" s="5">
        <v>0.06495138629712888</v>
      </c>
      <c r="C14" s="6" t="s">
        <v>13</v>
      </c>
    </row>
    <row r="15" spans="1:3" x14ac:dyDescent="0.25">
      <c r="A15" t="s">
        <v>14</v>
      </c>
      <c r="B15" s="5">
        <v>0.18433399535223846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0.53167</v>
      </c>
      <c r="C19" s="6" t="s">
        <v>21</v>
      </c>
    </row>
    <row r="20" spans="1:2" x14ac:dyDescent="0.25">
      <c r="A20" t="s">
        <v>22</v>
      </c>
      <c r="B20" s="9">
        <f>B17+B19*B18</f>
        <v>0.071429641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107800518656</v>
      </c>
    </row>
    <row r="23" spans="1:2" x14ac:dyDescent="0.25">
      <c r="A23" t="s">
        <v>26</v>
      </c>
      <c r="B23" s="10">
        <v>74075000000</v>
      </c>
    </row>
    <row r="24" spans="1:2" x14ac:dyDescent="0.25">
      <c r="A24" t="s">
        <v>27</v>
      </c>
      <c r="B24" s="9">
        <f>B22/(B22+B23)</f>
        <v>0.5927159380911198</v>
      </c>
    </row>
    <row r="25" spans="1:2" x14ac:dyDescent="0.25">
      <c r="A25" t="s">
        <v>28</v>
      </c>
      <c r="B25" s="9">
        <f>1-B24</f>
        <v>0.4072840619088802</v>
      </c>
    </row>
    <row r="26" spans="1:2" x14ac:dyDescent="0.25">
      <c r="A26" t="s">
        <v>29</v>
      </c>
      <c r="B26" s="11">
        <f>B24*B20+B25*B21*(1-B8)</f>
        <v>0.06495138629712888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29553000000</v>
      </c>
      <c r="C29" s="6" t="s">
        <v>32</v>
      </c>
    </row>
    <row r="30" spans="1:2" x14ac:dyDescent="0.25">
      <c r="A30" t="s">
        <v>33</v>
      </c>
      <c r="B30" s="10">
        <v>72436000000</v>
      </c>
    </row>
    <row r="31" spans="1:2" x14ac:dyDescent="0.25">
      <c r="A31" t="s">
        <v>34</v>
      </c>
      <c r="B31" s="12">
        <v>1107397959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0.04490638480018938</v>
      </c>
      <c r="C5" s="5">
        <v>0.05752715056219704</v>
      </c>
      <c r="D5" s="5">
        <v>0.05346125674192241</v>
      </c>
      <c r="E5" s="5">
        <v>0.04939536292164778</v>
      </c>
      <c r="F5" s="5">
        <v>0.04532946910137315</v>
      </c>
      <c r="G5" s="5">
        <v>0.041263575281098516</v>
      </c>
      <c r="H5" s="5">
        <v>0.03719768146082389</v>
      </c>
      <c r="I5" s="5">
        <v>0.03313178764054926</v>
      </c>
      <c r="J5" s="5">
        <v>0.029065893820274632</v>
      </c>
      <c r="K5" s="5">
        <v>0.025</v>
      </c>
    </row>
    <row r="6" spans="1:11" x14ac:dyDescent="0.25">
      <c r="A6" t="s">
        <v>50</v>
      </c>
      <c r="B6" s="18">
        <f>Assumptions!B29*(1+B5)</f>
        <v>30880118389.999996</v>
      </c>
      <c r="C6" s="18">
        <f>B6*(1+C5)</f>
        <v>32656563609.999996</v>
      </c>
      <c r="D6" s="18">
        <f>C6*(1+D5)</f>
        <v>34402424541.46313</v>
      </c>
      <c r="E6" s="18">
        <f>D6*(1+E5)</f>
        <v>36101744787.073296</v>
      </c>
      <c r="F6" s="18">
        <f>E6*(1+F5)</f>
        <v>37738217711.904594</v>
      </c>
      <c r="G6" s="18">
        <f>F6*(1+G5)</f>
        <v>39295431499.43426</v>
      </c>
      <c r="H6" s="18">
        <f>G6*(1+H5)</f>
        <v>40757130443.215836</v>
      </c>
      <c r="I6" s="18">
        <f>H6*(1+I5)</f>
        <v>42107487033.89863</v>
      </c>
      <c r="J6" s="18">
        <f>I6*(1+J5)</f>
        <v>43331378781.064514</v>
      </c>
      <c r="K6" s="18">
        <f>J6*(1+K5)</f>
        <v>44414663250.591125</v>
      </c>
    </row>
    <row r="7" spans="1:11" x14ac:dyDescent="0.25">
      <c r="A7" t="s">
        <v>4</v>
      </c>
      <c r="B7" s="9">
        <f>Assumptions!B7</f>
        <v>0.23127520198502022</v>
      </c>
      <c r="C7" s="9">
        <f>Assumptions!B7</f>
        <v>0.23127520198502022</v>
      </c>
      <c r="D7" s="9">
        <f>Assumptions!B7</f>
        <v>0.23127520198502022</v>
      </c>
      <c r="E7" s="9">
        <f>Assumptions!B7</f>
        <v>0.23127520198502022</v>
      </c>
      <c r="F7" s="9">
        <f>Assumptions!B7</f>
        <v>0.23127520198502022</v>
      </c>
      <c r="G7" s="9">
        <f>Assumptions!B7</f>
        <v>0.23127520198502022</v>
      </c>
      <c r="H7" s="9">
        <f>Assumptions!B7</f>
        <v>0.23127520198502022</v>
      </c>
      <c r="I7" s="9">
        <f>Assumptions!B7</f>
        <v>0.23127520198502022</v>
      </c>
      <c r="J7" s="9">
        <f>Assumptions!B7</f>
        <v>0.23127520198502022</v>
      </c>
      <c r="K7" s="9">
        <f>Assumptions!B7</f>
        <v>0.23127520198502022</v>
      </c>
    </row>
    <row r="8" spans="1:11" x14ac:dyDescent="0.25">
      <c r="A8" t="s">
        <v>51</v>
      </c>
      <c r="B8" s="18">
        <f>B6*B7</f>
        <v>7141805617.968587</v>
      </c>
      <c r="C8" s="18">
        <f>C6*C7</f>
        <v>7552653345.039411</v>
      </c>
      <c r="D8" s="18">
        <f>D6*D7</f>
        <v>7956427684.601301</v>
      </c>
      <c r="E8" s="18">
        <f>E6*E7</f>
        <v>8349438317.642027</v>
      </c>
      <c r="F8" s="18">
        <f>F6*F7</f>
        <v>8727913923.875402</v>
      </c>
      <c r="G8" s="18">
        <f>G6*G7</f>
        <v>9088058857.120184</v>
      </c>
      <c r="H8" s="18">
        <f>H6*H7</f>
        <v>9426113575.584558</v>
      </c>
      <c r="I8" s="18">
        <f>I6*I7</f>
        <v>9738417568.846525</v>
      </c>
      <c r="J8" s="18">
        <f>J6*J7</f>
        <v>10021473379.880116</v>
      </c>
      <c r="K8" s="18">
        <f>K6*K7</f>
        <v>10272010214.377117</v>
      </c>
    </row>
    <row r="9" spans="1:11" x14ac:dyDescent="0.25">
      <c r="A9" t="s">
        <v>52</v>
      </c>
      <c r="B9" s="18">
        <f>B8*(1-Assumptions!B8)</f>
        <v>5888612253.829356</v>
      </c>
      <c r="C9" s="18">
        <f>C8*(1-Assumptions!B8)</f>
        <v>6227367337.5577965</v>
      </c>
      <c r="D9" s="18">
        <f>D8*(1-Assumptions!B8)</f>
        <v>6560290221.617235</v>
      </c>
      <c r="E9" s="18">
        <f>E8*(1-Assumptions!B8)</f>
        <v>6884338137.985354</v>
      </c>
      <c r="F9" s="18">
        <f>F8*(1-Assumptions!B8)</f>
        <v>7196401530.894567</v>
      </c>
      <c r="G9" s="18">
        <f>G8*(1-Assumptions!B8)</f>
        <v>7493350787.2176485</v>
      </c>
      <c r="H9" s="18">
        <f>H8*(1-Assumptions!B8)</f>
        <v>7772086062.8747835</v>
      </c>
      <c r="I9" s="18">
        <f>I8*(1-Assumptions!B8)</f>
        <v>8029589167.834023</v>
      </c>
      <c r="J9" s="18">
        <f>J8*(1-Assumptions!B8)</f>
        <v>8262976354.006715</v>
      </c>
      <c r="K9" s="18">
        <f>K8*(1-Assumptions!B8)</f>
        <v>8469550762.856881</v>
      </c>
    </row>
    <row r="10" spans="1:11" x14ac:dyDescent="0.25">
      <c r="A10" t="s">
        <v>53</v>
      </c>
      <c r="B10" s="18">
        <f>B6*Assumptions!B9</f>
        <v>5692255599.778832</v>
      </c>
      <c r="C10" s="18">
        <f>C6*Assumptions!B9</f>
        <v>6019714844.705819</v>
      </c>
      <c r="D10" s="18">
        <f>D6*Assumptions!B9</f>
        <v>6341536365.531798</v>
      </c>
      <c r="E10" s="18">
        <f>E6*Assumptions!B9</f>
        <v>6654778855.788068</v>
      </c>
      <c r="F10" s="18">
        <f>F6*Assumptions!B9</f>
        <v>6956436448.307984</v>
      </c>
      <c r="G10" s="18">
        <f>G6*Assumptions!B9</f>
        <v>7243483887.380919</v>
      </c>
      <c r="H10" s="18">
        <f>H6*Assumptions!B9</f>
        <v>7512924693.690325</v>
      </c>
      <c r="I10" s="18">
        <f>I6*Assumptions!B9</f>
        <v>7761841319.201111</v>
      </c>
      <c r="J10" s="18">
        <f>J6*Assumptions!B9</f>
        <v>7987446174.83483</v>
      </c>
      <c r="K10" s="18">
        <f>K6*Assumptions!B9</f>
        <v>8187132329.205701</v>
      </c>
    </row>
    <row r="11" spans="1:11" x14ac:dyDescent="0.25">
      <c r="A11" t="s">
        <v>54</v>
      </c>
      <c r="B11" s="18">
        <f>-B6*B19</f>
        <v>-10783639805.762009</v>
      </c>
      <c r="C11" s="18">
        <f>-C6*C19</f>
        <v>-11072064868.286982</v>
      </c>
      <c r="D11" s="18">
        <f>-D6*D19</f>
        <v>-11314319127.67969</v>
      </c>
      <c r="E11" s="18">
        <f>-E6*E19</f>
        <v>-11506249596.65257</v>
      </c>
      <c r="F11" s="18">
        <f>-F6*F19</f>
        <v>-11644243955.43998</v>
      </c>
      <c r="G11" s="18">
        <f>-G6*G19</f>
        <v>-11725321473.178652</v>
      </c>
      <c r="H11" s="18">
        <f>-H6*H19</f>
        <v>-11747213664.054918</v>
      </c>
      <c r="I11" s="18">
        <f>-I6*I19</f>
        <v>-11708432010.327274</v>
      </c>
      <c r="J11" s="18">
        <f>-J6*J19</f>
        <v>-11608320360.54994</v>
      </c>
      <c r="K11" s="18">
        <f>-K6*K19</f>
        <v>-11447089985.887493</v>
      </c>
    </row>
    <row r="12" spans="1:11" x14ac:dyDescent="0.25">
      <c r="A12" t="s">
        <v>55</v>
      </c>
      <c r="B12" s="18">
        <f>-(B6-Assumptions!B29)*Assumptions!B11</f>
        <v>-89155123.96325551</v>
      </c>
      <c r="C12" s="18">
        <f>-(C6-B6)*Assumptions!B11</f>
        <v>-119340666.96418333</v>
      </c>
      <c r="D12" s="18">
        <f>-(D6-C6)*Assumptions!B11</f>
        <v>-117286030.34971178</v>
      </c>
      <c r="E12" s="18">
        <f>-(E6-D6)*Assumptions!B11</f>
        <v>-114159451.25336166</v>
      </c>
      <c r="F12" s="18">
        <f>-(F6-E6)*Assumptions!B11</f>
        <v>-109937400.89446443</v>
      </c>
      <c r="G12" s="18">
        <f>-(G6-F6)*Assumptions!B11</f>
        <v>-104612813.227988</v>
      </c>
      <c r="H12" s="18">
        <f>-(H6-G6)*Assumptions!B11</f>
        <v>-98196175.64775561</v>
      </c>
      <c r="I12" s="18">
        <f>-(I6-H6)*Assumptions!B11</f>
        <v>-90716254.21219867</v>
      </c>
      <c r="J12" s="18">
        <f>-(J6-I6)*Assumptions!B11</f>
        <v>-82220411.72692984</v>
      </c>
      <c r="K12" s="18">
        <f>-(K6-J6)*Assumptions!B11</f>
        <v>-72774487.86472984</v>
      </c>
    </row>
    <row r="13" spans="1:11" x14ac:dyDescent="0.25">
      <c r="A13" s="19" t="s">
        <v>56</v>
      </c>
      <c r="B13" s="20">
        <f>B9+B10+B11+B12</f>
        <v>708072923.8829244</v>
      </c>
      <c r="C13" s="20">
        <f>C9+C10+C11+C12</f>
        <v>1055676647.0124497</v>
      </c>
      <c r="D13" s="20">
        <f>D9+D10+D11+D12</f>
        <v>1470221429.1196313</v>
      </c>
      <c r="E13" s="20">
        <f>E9+E10+E11+E12</f>
        <v>1918707945.8674898</v>
      </c>
      <c r="F13" s="20">
        <f>F9+F10+F11+F12</f>
        <v>2398656622.868107</v>
      </c>
      <c r="G13" s="20">
        <f>G9+G10+G11+G12</f>
        <v>2906900388.191928</v>
      </c>
      <c r="H13" s="20">
        <f>H9+H10+H11+H12</f>
        <v>3439600916.8624353</v>
      </c>
      <c r="I13" s="20">
        <f>I9+I10+I11+I12</f>
        <v>3992282222.4956603</v>
      </c>
      <c r="J13" s="20">
        <f>J9+J10+J11+J12</f>
        <v>4559881756.564675</v>
      </c>
      <c r="K13" s="20">
        <f>K9+K10+K11+K12</f>
        <v>5136818618.310359</v>
      </c>
    </row>
    <row r="14" spans="1:11" x14ac:dyDescent="0.25">
      <c r="A14" t="s">
        <v>57</v>
      </c>
      <c r="B14" s="21">
        <f>1/(1+Assumptions!$B$26)^(1-0.5*Assumptions!$B$32)</f>
        <v>0.9690252828637546</v>
      </c>
      <c r="C14" s="21">
        <f>1/(1+Assumptions!$B$26)^(2-0.5*Assumptions!$B$32)</f>
        <v>0.9099244297273392</v>
      </c>
      <c r="D14" s="21">
        <f>1/(1+Assumptions!$B$26)^(3-0.5*Assumptions!$B$32)</f>
        <v>0.8544281376929106</v>
      </c>
      <c r="E14" s="21">
        <f>1/(1+Assumptions!$B$26)^(4-0.5*Assumptions!$B$32)</f>
        <v>0.802316564574638</v>
      </c>
      <c r="F14" s="21">
        <f>1/(1+Assumptions!$B$26)^(5-0.5*Assumptions!$B$32)</f>
        <v>0.753383276361862</v>
      </c>
      <c r="G14" s="21">
        <f>1/(1+Assumptions!$B$26)^(6-0.5*Assumptions!$B$32)</f>
        <v>0.7074344294544754</v>
      </c>
      <c r="H14" s="21">
        <f>1/(1+Assumptions!$B$26)^(7-0.5*Assumptions!$B$32)</f>
        <v>0.6642880027737681</v>
      </c>
      <c r="I14" s="21">
        <f>1/(1+Assumptions!$B$26)^(8-0.5*Assumptions!$B$32)</f>
        <v>0.6237730767068339</v>
      </c>
      <c r="J14" s="21">
        <f>1/(1+Assumptions!$B$26)^(9-0.5*Assumptions!$B$32)</f>
        <v>0.5857291560281577</v>
      </c>
      <c r="K14" s="21">
        <f>1/(1+Assumptions!$B$26)^(10-0.5*Assumptions!$B$32)</f>
        <v>0.5500055341162166</v>
      </c>
    </row>
    <row r="15" spans="1:11" x14ac:dyDescent="0.25">
      <c r="A15" s="19" t="s">
        <v>58</v>
      </c>
      <c r="B15" s="20">
        <f>B13*B14</f>
        <v>686140565.3538166</v>
      </c>
      <c r="C15" s="20">
        <f>C13*C14</f>
        <v>960585971.0092729</v>
      </c>
      <c r="D15" s="20">
        <f>D13*D14</f>
        <v>1256198557.6788962</v>
      </c>
      <c r="E15" s="20">
        <f>E13*E14</f>
        <v>1539411167.5504649</v>
      </c>
      <c r="F15" s="20">
        <f>F13*F14</f>
        <v>1807107785.4034536</v>
      </c>
      <c r="G15" s="20">
        <f>G13*G14</f>
        <v>2056441417.6015496</v>
      </c>
      <c r="H15" s="20">
        <f>H13*H14</f>
        <v>2284885623.4013686</v>
      </c>
      <c r="I15" s="20">
        <f>I13*I14</f>
        <v>2490278165.008115</v>
      </c>
      <c r="J15" s="20">
        <f>J13*J14</f>
        <v>2670855692.8608203</v>
      </c>
      <c r="K15" s="20">
        <f>K13*K14</f>
        <v>2825278667.8219147</v>
      </c>
    </row>
    <row r="17" spans="1:2" x14ac:dyDescent="0.25">
      <c r="A17" s="22" t="s">
        <v>59</v>
      </c>
      <c r="B17" s="23">
        <f>SUM(B15:K15)</f>
        <v>18577183613.689674</v>
      </c>
    </row>
    <row r="19" spans="1:11" x14ac:dyDescent="0.25">
      <c r="A19" t="s">
        <v>7</v>
      </c>
      <c r="B19" s="9">
        <f>Assumptions!$B$10+($B$20-Assumptions!$B$10)*0/9</f>
        <v>0.34920979478025926</v>
      </c>
      <c r="C19" s="9">
        <f>Assumptions!$B$10+($B$20-Assumptions!$B$10)*1/9</f>
        <v>0.3390456203694539</v>
      </c>
      <c r="D19" s="9">
        <f>Assumptions!$B$10+($B$20-Assumptions!$B$10)*2/9</f>
        <v>0.32888144595864854</v>
      </c>
      <c r="E19" s="9">
        <f>Assumptions!$B$10+($B$20-Assumptions!$B$10)*3/9</f>
        <v>0.3187172715478432</v>
      </c>
      <c r="F19" s="9">
        <f>Assumptions!$B$10+($B$20-Assumptions!$B$10)*4/9</f>
        <v>0.3085530971370378</v>
      </c>
      <c r="G19" s="9">
        <f>Assumptions!$B$10+($B$20-Assumptions!$B$10)*5/9</f>
        <v>0.2983889227262325</v>
      </c>
      <c r="H19" s="9">
        <f>Assumptions!$B$10+($B$20-Assumptions!$B$10)*6/9</f>
        <v>0.28822474831542716</v>
      </c>
      <c r="I19" s="9">
        <f>Assumptions!$B$10+($B$20-Assumptions!$B$10)*7/9</f>
        <v>0.2780605739046218</v>
      </c>
      <c r="J19" s="9">
        <f>Assumptions!$B$10+($B$20-Assumptions!$B$10)*8/9</f>
        <v>0.26789639949381644</v>
      </c>
      <c r="K19" s="9">
        <f>Assumptions!$B$10+($B$20-Assumptions!$B$10)*9/9</f>
        <v>0.2577322250830111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0.2577322250830111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5136818618.310359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8469550762.856881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0.38490325496108935</v>
      </c>
    </row>
    <row r="7" spans="1:2" x14ac:dyDescent="0.25">
      <c r="A7" t="s">
        <v>66</v>
      </c>
      <c r="B7" s="18">
        <f>-MAX(B5,0)*B6</f>
        <v>-3259957656.681791</v>
      </c>
    </row>
    <row r="8" spans="1:2" x14ac:dyDescent="0.25">
      <c r="A8" t="s">
        <v>67</v>
      </c>
      <c r="B8" s="18">
        <f>IF(OR(Assumptions!$B$33=0,Assumptions!B12&lt;=0),B5,MAX(B5+B7,0))</f>
        <v>5209593106.175091</v>
      </c>
    </row>
    <row r="9" spans="1:2" x14ac:dyDescent="0.25">
      <c r="A9" t="s">
        <v>68</v>
      </c>
      <c r="B9" s="18">
        <f>B8*(1+Assumptions!B12)/(Assumptions!B26-Assumptions!B12)</f>
        <v>133658263923.95343</v>
      </c>
    </row>
    <row r="10" spans="1:2" x14ac:dyDescent="0.25">
      <c r="A10" t="s">
        <v>69</v>
      </c>
      <c r="B10" s="18">
        <f>B9/(1+Assumptions!B26)^(10-0.5*Assumptions!B32)</f>
        <v>73512784838.54024</v>
      </c>
    </row>
    <row r="11" spans="1:2" x14ac:dyDescent="0.25">
      <c r="A11" t="s">
        <v>70</v>
      </c>
      <c r="B11" s="18">
        <f>Forecast!B17+B10</f>
        <v>92089968452.22992</v>
      </c>
    </row>
    <row r="12" spans="1:2" x14ac:dyDescent="0.25">
      <c r="A12" t="s">
        <v>71</v>
      </c>
      <c r="B12" s="18">
        <f>-Assumptions!B30</f>
        <v>-72436000000</v>
      </c>
    </row>
    <row r="13" spans="1:2" x14ac:dyDescent="0.25">
      <c r="A13" t="s">
        <v>72</v>
      </c>
      <c r="B13" s="18">
        <f>B11+B12</f>
        <v>19653968452.22992</v>
      </c>
    </row>
    <row r="14" spans="1:2" x14ac:dyDescent="0.25">
      <c r="A14" s="19" t="s">
        <v>73</v>
      </c>
      <c r="B14" s="24">
        <f>B13/Assumptions!B31</f>
        <v>17.747882134420585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18459142543.582817</v>
      </c>
    </row>
    <row r="18" spans="1:2" x14ac:dyDescent="0.25">
      <c r="A18" t="s">
        <v>68</v>
      </c>
      <c r="B18" s="18">
        <f>B17*Assumptions!B13</f>
        <v>249869439686.8365</v>
      </c>
    </row>
    <row r="19" spans="1:2" x14ac:dyDescent="0.25">
      <c r="A19" t="s">
        <v>69</v>
      </c>
      <c r="B19" s="18">
        <f>B18/(1+Assumptions!B26)^(10-0.5*Assumptions!B32)</f>
        <v>137429574634.27826</v>
      </c>
    </row>
    <row r="20" spans="1:2" x14ac:dyDescent="0.25">
      <c r="A20" t="s">
        <v>70</v>
      </c>
      <c r="B20" s="18">
        <f>Forecast!B17+B19</f>
        <v>156006758247.96793</v>
      </c>
    </row>
    <row r="21" spans="1:2" x14ac:dyDescent="0.25">
      <c r="A21" t="s">
        <v>71</v>
      </c>
      <c r="B21" s="18">
        <f>-Assumptions!B30</f>
        <v>-72436000000</v>
      </c>
    </row>
    <row r="22" spans="1:2" x14ac:dyDescent="0.25">
      <c r="A22" t="s">
        <v>72</v>
      </c>
      <c r="B22" s="18">
        <f>B20+B21</f>
        <v>83570758247.96793</v>
      </c>
    </row>
    <row r="23" spans="1:2" x14ac:dyDescent="0.25">
      <c r="A23" s="19" t="s">
        <v>73</v>
      </c>
      <c r="B23" s="25">
        <f>B22/Assumptions!B31</f>
        <v>75.46587707587415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93.71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17.747882134420585</v>
      </c>
    </row>
    <row r="29" spans="1:2" x14ac:dyDescent="0.25">
      <c r="A29" s="19" t="s">
        <v>81</v>
      </c>
      <c r="B29" s="11">
        <f>B28/B26-1</f>
        <v>-0.8106084501715869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0.044951</v>
      </c>
      <c r="B5" s="31">
        <v>78.83892450184497</v>
      </c>
      <c r="C5" s="31">
        <v>82.4188548332087</v>
      </c>
      <c r="D5" s="31">
        <v>88.77939641485297</v>
      </c>
      <c r="E5" s="31">
        <v>100.7102735966011</v>
      </c>
      <c r="F5" s="31">
        <v>126.60813334876322</v>
      </c>
    </row>
    <row r="6" spans="1:6" x14ac:dyDescent="0.25">
      <c r="A6" s="30">
        <v>0.054951</v>
      </c>
      <c r="B6" s="31">
        <v>40.07602545470446</v>
      </c>
      <c r="C6" s="31">
        <v>38.27371181949036</v>
      </c>
      <c r="D6" s="31">
        <v>36.471398184276254</v>
      </c>
      <c r="E6" s="31">
        <v>34.66908454906216</v>
      </c>
      <c r="F6" s="31">
        <v>32.86677091384801</v>
      </c>
    </row>
    <row r="7" spans="1:6" x14ac:dyDescent="0.25">
      <c r="A7" s="30">
        <v>0.064951</v>
      </c>
      <c r="B7" s="31">
        <v>20.627913095307264</v>
      </c>
      <c r="C7" s="31">
        <v>19.18820165937248</v>
      </c>
      <c r="D7" s="32">
        <v>17.748490223437695</v>
      </c>
      <c r="E7" s="31">
        <v>16.308778787502924</v>
      </c>
      <c r="F7" s="31">
        <v>14.869067351568166</v>
      </c>
    </row>
    <row r="8" spans="1:6" x14ac:dyDescent="0.25">
      <c r="A8" s="30">
        <v>0.074951</v>
      </c>
      <c r="B8" s="31">
        <v>6.546286882275717</v>
      </c>
      <c r="C8" s="31">
        <v>5.367260833049221</v>
      </c>
      <c r="D8" s="31">
        <v>4.18823478382271</v>
      </c>
      <c r="E8" s="31">
        <v>3.009208734596214</v>
      </c>
      <c r="F8" s="31">
        <v>1.83018268536969</v>
      </c>
    </row>
    <row r="9" spans="1:6" x14ac:dyDescent="0.25">
      <c r="A9" s="30">
        <v>0.084951</v>
      </c>
      <c r="B9" s="31">
        <v>-4.0760163909330105</v>
      </c>
      <c r="C9" s="31">
        <v>-5.059911897600591</v>
      </c>
      <c r="D9" s="31">
        <v>-6.0438074042681915</v>
      </c>
      <c r="E9" s="31">
        <v>-7.027702910935779</v>
      </c>
      <c r="F9" s="31">
        <v>-8.011598417603352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29553000000</v>
      </c>
      <c r="C5" s="18">
        <v>26724000000</v>
      </c>
      <c r="D5" s="18">
        <v>25253000000</v>
      </c>
      <c r="E5" s="18">
        <v>29279000000</v>
      </c>
      <c r="F5" s="6" t="s">
        <v>91</v>
      </c>
    </row>
    <row r="6" spans="1:6" x14ac:dyDescent="0.25">
      <c r="A6" t="s">
        <v>51</v>
      </c>
      <c r="B6" s="18">
        <v>7285000000</v>
      </c>
      <c r="C6" s="18">
        <v>7068000000</v>
      </c>
      <c r="D6" s="18">
        <v>5826000000</v>
      </c>
      <c r="E6" s="18">
        <v>5370000000</v>
      </c>
      <c r="F6" s="6" t="s">
        <v>92</v>
      </c>
    </row>
    <row r="7" spans="1:6" x14ac:dyDescent="0.25">
      <c r="A7" t="s">
        <v>93</v>
      </c>
      <c r="B7" s="18">
        <v>6030000000</v>
      </c>
      <c r="C7" s="18">
        <v>5266000000</v>
      </c>
      <c r="D7" s="18">
        <v>4986000000</v>
      </c>
      <c r="E7" s="18">
        <v>4064000000</v>
      </c>
      <c r="F7" s="6" t="s">
        <v>94</v>
      </c>
    </row>
    <row r="8" spans="1:6" x14ac:dyDescent="0.25">
      <c r="A8" t="s">
        <v>95</v>
      </c>
      <c r="B8" s="18">
        <v>12737000000</v>
      </c>
      <c r="C8" s="18">
        <v>8955000000</v>
      </c>
      <c r="D8" s="18">
        <v>9095000000</v>
      </c>
      <c r="E8" s="18">
        <v>7923000000</v>
      </c>
      <c r="F8" s="6" t="s">
        <v>96</v>
      </c>
    </row>
    <row r="9" spans="1:6" x14ac:dyDescent="0.25">
      <c r="A9" t="s">
        <v>97</v>
      </c>
      <c r="B9" s="18">
        <v>-399000000</v>
      </c>
      <c r="C9" s="18">
        <v>-1421000000</v>
      </c>
      <c r="D9" s="18">
        <v>135000000</v>
      </c>
      <c r="E9" s="18">
        <v>-160000000</v>
      </c>
      <c r="F9" s="6" t="s">
        <v>98</v>
      </c>
    </row>
    <row r="10" spans="1:6" x14ac:dyDescent="0.25">
      <c r="A10" t="s">
        <v>99</v>
      </c>
      <c r="B10" s="18">
        <v>74075000000</v>
      </c>
      <c r="C10" s="18">
        <v>66277000000</v>
      </c>
      <c r="D10" s="18">
        <v>63490000000</v>
      </c>
      <c r="E10" s="18">
        <v>59135000000</v>
      </c>
      <c r="F10" s="6" t="s">
        <v>100</v>
      </c>
    </row>
    <row r="11" spans="1:6" x14ac:dyDescent="0.25">
      <c r="A11" t="s">
        <v>101</v>
      </c>
      <c r="B11" s="18">
        <v>1639000000</v>
      </c>
      <c r="C11" s="18">
        <v>1070000000</v>
      </c>
      <c r="D11" s="18">
        <v>748000000</v>
      </c>
      <c r="E11" s="18">
        <v>1917000000</v>
      </c>
      <c r="F11" s="6" t="s">
        <v>102</v>
      </c>
    </row>
    <row r="12" spans="1:6" x14ac:dyDescent="0.25">
      <c r="A12" t="s">
        <v>34</v>
      </c>
      <c r="B12" s="34">
        <v>1107397959</v>
      </c>
      <c r="C12" s="34">
        <v>1103007519</v>
      </c>
      <c r="D12" s="34">
        <v>1098000000</v>
      </c>
      <c r="E12" s="34">
        <v>1080981595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