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<sst xmlns="http://schemas.openxmlformats.org/spreadsheetml/2006/main" count="113" uniqueCount="101">
  <si>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Southern Company (SO)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</si>
  <si>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</si>
  <si>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</si>
  <si>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</si>
  <si>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</si>
  <si>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</si>
  <si>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</si>
  <si>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</si>
  <si>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</si>
  <si>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</si>
  <si>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</si>
  <si>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</si>
  <si>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</si>
  <si>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</si>
  <si>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</si>
  <si>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</si>
  <si>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</si>
  <si>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</si>
  <si>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</si>
  <si>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</si>
  <si>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</si>
  <si>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</si>
  <si>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</si>
  <si>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</si>
  <si>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</si>
  <si>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</si>
  <si>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</si>
  <si>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</si>
  <si>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</si>
  <si>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</si>
  <si>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</si>
  <si>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</si>
  <si>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</si>
  <si>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</si>
  <si>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</si>
  <si>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</si>
  <si>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</si>
  <si>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</si>
  <si>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</si>
  <si>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</si>
  <si>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</si>
  <si>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</si>
  <si>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</si>
  <si>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</si>
  <si>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</si>
  <si>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</si>
  <si>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</si>
  <si>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</si>
  <si>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</si>
  <si>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</si>
  <si>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</si>
  <si>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</si>
  <si>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</si>
  <si>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</si>
  <si>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</si>
  <si>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</si>
  <si>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</si>
  <si>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</si>
  <si>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</si>
  <si>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</si>
  <si>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</si>
  <si>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</si>
  <si>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</si>
  <si>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</si>
  <si>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</si>
  <si>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</si>
  <si>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</si>
  <si>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</si>
  <si>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</si>
  <si>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</si>
  <si>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</si>
  <si>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</si>
  <si>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</si>
  <si>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</si>
  <si>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</si>
  <si>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</si>
  <si>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</si>
  <si>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</si>
  <si>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</si>
  <si>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</si>
  <si>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</si>
  <si>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</si>
  <si>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</si>
  <si>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</si>
  <si>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</si>
  <si>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</si>
  <si>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</si>
  <si>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</si>
  <si>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</si>
  <si>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</si>
  <si>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</si>
  <si>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</si>
  <si>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</si>
  <si>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</si>
  <si>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</si>
  <si>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</si>
  <si>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</si>
  <si>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</si>
  <si>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1.5%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</si>
  <si>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34.9% of revenue against depreciation of 18.4%.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</si>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</sst>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0.003109733900695355</v>
      </c>
    </row>
    <row r="7" spans="1:2" x14ac:dyDescent="0.25">
      <c r="A7" t="s">
        <v>5</v>
      </c>
      <c r="B7" s="6">
        <v>0.23127520198502022</v>
      </c>
    </row>
    <row r="8" spans="1:2" x14ac:dyDescent="0.25">
      <c r="A8" t="s">
        <v>6</v>
      </c>
      <c r="B8" s="6">
        <v>0.175472902956954</v>
      </c>
    </row>
    <row r="9" spans="1:2" x14ac:dyDescent="0.25">
      <c r="A9" t="s">
        <v>7</v>
      </c>
      <c r="B9" s="6">
        <v>0.18433399535223846</v>
      </c>
    </row>
    <row r="10" spans="1:2" x14ac:dyDescent="0.25">
      <c r="A10" t="s">
        <v>8</v>
      </c>
      <c r="B10" s="6">
        <v>0.34920979478025926</v>
      </c>
    </row>
    <row r="11" spans="1:2" x14ac:dyDescent="0.25">
      <c r="A11" t="s">
        <v>9</v>
      </c>
      <c r="B11" s="6">
        <v>-0.14103923647932132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12.828767459256477</v>
      </c>
    </row>
    <row r="14" spans="1:3" x14ac:dyDescent="0.25">
      <c r="A14" t="s">
        <v>12</v>
      </c>
      <c r="B14" s="6">
        <v>0.06320970643517455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0.54172</v>
      </c>
      <c r="C19" s="8" t="s">
        <v>19</v>
      </c>
    </row>
    <row r="20" spans="1:2" x14ac:dyDescent="0.25">
      <c r="A20" t="s">
        <v>20</v>
      </c>
      <c r="B20" s="10">
        <f>B17+B19*B18</f>
        <v>0.0797746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98379038720</v>
      </c>
    </row>
    <row r="23" spans="1:2" x14ac:dyDescent="0.25">
      <c r="A23" t="s">
        <v>24</v>
      </c>
      <c r="B23" s="11">
        <v>74075000000</v>
      </c>
    </row>
    <row r="24" spans="1:2" x14ac:dyDescent="0.25">
      <c r="A24" t="s">
        <v>25</v>
      </c>
      <c r="B24" s="10">
        <f>B22/(B22+B23)</f>
        <v>0.5704652639636366</v>
      </c>
    </row>
    <row r="25" spans="1:2" x14ac:dyDescent="0.25">
      <c r="A25" t="s">
        <v>26</v>
      </c>
      <c r="B25" s="10">
        <f>1-B24</f>
        <v>0.4295347360363634</v>
      </c>
    </row>
    <row r="26" spans="1:2" x14ac:dyDescent="0.25">
      <c r="A26" t="s">
        <v>27</v>
      </c>
      <c r="B26" s="12">
        <f>B24*B20+B25*B21*(1-B8)</f>
        <v>0.06320970643517455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29553000000</v>
      </c>
      <c r="C29" s="8" t="s">
        <v>30</v>
      </c>
    </row>
    <row r="30" spans="1:2" x14ac:dyDescent="0.25">
      <c r="A30" t="s">
        <v>31</v>
      </c>
      <c r="B30" s="11">
        <v>72436000000</v>
      </c>
    </row>
    <row r="31" spans="1:2" x14ac:dyDescent="0.25">
      <c r="A31" t="s">
        <v>32</v>
      </c>
      <c r="B31" s="13">
        <v>1107397959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0.003109733900695355</v>
      </c>
      <c r="C5" s="10">
        <f>Assumptions!B6</f>
        <v>0.003109733900695355</v>
      </c>
      <c r="D5" s="10">
        <f>Assumptions!B6</f>
        <v>0.003109733900695355</v>
      </c>
      <c r="E5" s="10">
        <f>Assumptions!B6</f>
        <v>0.003109733900695355</v>
      </c>
      <c r="F5" s="10">
        <f>Assumptions!B6</f>
        <v>0.003109733900695355</v>
      </c>
    </row>
    <row r="6" spans="1:6" x14ac:dyDescent="0.25">
      <c r="A6" t="s">
        <v>43</v>
      </c>
      <c r="B6" s="18">
        <f>Assumptions!B29*(1+B5)</f>
        <v>29644901965.96725</v>
      </c>
      <c r="C6" s="18">
        <f>B6*(1+C5)</f>
        <v>29737089722.59361</v>
      </c>
      <c r="D6" s="18">
        <f>C6*(1+D5)</f>
        <v>29829564158.611977</v>
      </c>
      <c r="E6" s="18">
        <f>D6*(1+E5)</f>
        <v>29922326165.51898</v>
      </c>
      <c r="F6" s="18">
        <f>E6*(1+F5)</f>
        <v>30015376637.583557</v>
      </c>
    </row>
    <row r="7" spans="1:6" x14ac:dyDescent="0.25">
      <c r="A7" t="s">
        <v>5</v>
      </c>
      <c r="B7" s="10">
        <f>Assumptions!B7</f>
        <v>0.23127520198502022</v>
      </c>
      <c r="C7" s="10">
        <f>Assumptions!B7</f>
        <v>0.23127520198502022</v>
      </c>
      <c r="D7" s="10">
        <f>Assumptions!B7</f>
        <v>0.23127520198502022</v>
      </c>
      <c r="E7" s="10">
        <f>Assumptions!B7</f>
        <v>0.23127520198502022</v>
      </c>
      <c r="F7" s="10">
        <f>Assumptions!B7</f>
        <v>0.23127520198502022</v>
      </c>
    </row>
    <row r="8" spans="1:6" x14ac:dyDescent="0.25">
      <c r="A8" t="s">
        <v>44</v>
      </c>
      <c r="B8" s="18">
        <f>B6*B7</f>
        <v>6856130690.0051985</v>
      </c>
      <c r="C8" s="18">
        <f>C6*C7</f>
        <v>6877451432.039506</v>
      </c>
      <c r="D8" s="18">
        <f>D6*D7</f>
        <v>6898838475.908105</v>
      </c>
      <c r="E8" s="18">
        <f>E6*E7</f>
        <v>6920292027.792057</v>
      </c>
      <c r="F8" s="18">
        <f>F6*F7</f>
        <v>6941812294.513595</v>
      </c>
    </row>
    <row r="9" spans="1:6" x14ac:dyDescent="0.25">
      <c r="A9" t="s">
        <v>45</v>
      </c>
      <c r="B9" s="18">
        <f>B8*(1-Assumptions!B8)</f>
        <v>5653065534.777722</v>
      </c>
      <c r="C9" s="18">
        <f>C8*(1-Assumptions!B8)</f>
        <v>5670645064.314074</v>
      </c>
      <c r="D9" s="18">
        <f>D8*(1-Assumptions!B8)</f>
        <v>5688279261.509382</v>
      </c>
      <c r="E9" s="18">
        <f>E8*(1-Assumptions!B8)</f>
        <v>5705968296.36552</v>
      </c>
      <c r="F9" s="18">
        <f>F8*(1-Assumptions!B8)</f>
        <v>5723712339.413021</v>
      </c>
    </row>
    <row r="10" spans="1:6" x14ac:dyDescent="0.25">
      <c r="A10" t="s">
        <v>46</v>
      </c>
      <c r="B10" s="18">
        <f>B6*Assumptions!B9</f>
        <v>5464563221.2121725</v>
      </c>
      <c r="C10" s="18">
        <f>C6*Assumptions!B9</f>
        <v>5481556558.713669</v>
      </c>
      <c r="D10" s="18">
        <f>D6*Assumptions!B9</f>
        <v>5498602740.972879</v>
      </c>
      <c r="E10" s="18">
        <f>E6*Assumptions!B9</f>
        <v>5515701932.322939</v>
      </c>
      <c r="F10" s="18">
        <f>F6*Assumptions!B9</f>
        <v>5532854297.608014</v>
      </c>
    </row>
    <row r="11" spans="1:6" x14ac:dyDescent="0.25">
      <c r="A11" t="s">
        <v>47</v>
      </c>
      <c r="B11" s="18">
        <f>-B6*Assumptions!B10</f>
        <v>-10352290131.816328</v>
      </c>
      <c r="C11" s="18">
        <f>-C6*Assumptions!B10</f>
        <v>-10384482999.38907</v>
      </c>
      <c r="D11" s="18">
        <f>-D6*Assumptions!B10</f>
        <v>-10416775978.213465</v>
      </c>
      <c r="E11" s="18">
        <f>-E6*Assumptions!B10</f>
        <v>-10449169379.608864</v>
      </c>
      <c r="F11" s="18">
        <f>-F6*Assumptions!B10</f>
        <v>-10481663515.862741</v>
      </c>
    </row>
    <row r="12" spans="1:6" x14ac:dyDescent="0.25">
      <c r="A12" t="s">
        <v>48</v>
      </c>
      <c r="B12" s="18">
        <f>-(B6-Assumptions!B29)*Assumptions!B11</f>
        <v>12961783.11096963</v>
      </c>
      <c r="C12" s="18">
        <f>-(C6-B6)*Assumptions!B11</f>
        <v>13002090.807323031</v>
      </c>
      <c r="D12" s="18">
        <f>-(D6-C6)*Assumptions!B11</f>
        <v>13042523.84988644</v>
      </c>
      <c r="E12" s="18">
        <f>-(E6-D6)*Assumptions!B11</f>
        <v>13083082.628453022</v>
      </c>
      <c r="F12" s="18">
        <f>-(F6-E6)*Assumptions!B11</f>
        <v>13123767.534028642</v>
      </c>
    </row>
    <row r="13" spans="1:6" x14ac:dyDescent="0.25">
      <c r="A13" s="19" t="s">
        <v>49</v>
      </c>
      <c r="B13" s="20">
        <f>B9+B10+B11+B12</f>
        <v>778300407.2845365</v>
      </c>
      <c r="C13" s="20">
        <f>C9+C10+C11+C12</f>
        <v>780720714.4459949</v>
      </c>
      <c r="D13" s="20">
        <f>D9+D10+D11+D12</f>
        <v>783148548.1186833</v>
      </c>
      <c r="E13" s="20">
        <f>E9+E10+E11+E12</f>
        <v>785583931.7080467</v>
      </c>
      <c r="F13" s="20">
        <f>F9+F10+F11+F12</f>
        <v>788026888.6923214</v>
      </c>
    </row>
    <row r="14" spans="1:6" x14ac:dyDescent="0.25">
      <c r="A14" t="s">
        <v>50</v>
      </c>
      <c r="B14" s="21">
        <f>1/(1+Assumptions!$B$26)^(1-0.5*Assumptions!$B$32)</f>
        <v>0.9698186546668645</v>
      </c>
      <c r="C14" s="21">
        <f>1/(1+Assumptions!$B$26)^(2-0.5*Assumptions!$B$32)</f>
        <v>0.9121612122208327</v>
      </c>
      <c r="D14" s="21">
        <f>1/(1+Assumptions!$B$26)^(3-0.5*Assumptions!$B$32)</f>
        <v>0.8579316071889609</v>
      </c>
      <c r="E14" s="21">
        <f>1/(1+Assumptions!$B$26)^(4-0.5*Assumptions!$B$32)</f>
        <v>0.806926048545504</v>
      </c>
      <c r="F14" s="21">
        <f>1/(1+Assumptions!$B$26)^(5-0.5*Assumptions!$B$32)</f>
        <v>0.7589528610033467</v>
      </c>
    </row>
    <row r="15" spans="1:6" x14ac:dyDescent="0.25">
      <c r="A15" s="19" t="s">
        <v>51</v>
      </c>
      <c r="B15" s="20">
        <f>B13*B14</f>
        <v>754810253.9193618</v>
      </c>
      <c r="C15" s="20">
        <f>C13*C14</f>
        <v>712143153.2949733</v>
      </c>
      <c r="D15" s="20">
        <f>D13*D14</f>
        <v>671887892.5551633</v>
      </c>
      <c r="E15" s="20">
        <f>E13*E14</f>
        <v>633908137.8140152</v>
      </c>
      <c r="F15" s="20">
        <f>F13*F14</f>
        <v>598075261.7206032</v>
      </c>
    </row>
    <row r="17" spans="1:2" x14ac:dyDescent="0.25">
      <c r="A17" s="22" t="s">
        <v>52</v>
      </c>
      <c r="B17" s="23">
        <f>SUM(B15:F15)</f>
        <v>3370824699.3041162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788026888.6923214</v>
      </c>
    </row>
    <row r="5" spans="1:2" x14ac:dyDescent="0.25">
      <c r="A5" t="s">
        <v>56</v>
      </c>
      <c r="B5" s="18">
        <f>IF(Assumptions!$B$33=0,B4,B4-Forecast!F11-Forecast!F10-Forecast!F12)</f>
        <v>5723712339.413021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0.39550887687856995</v>
      </c>
    </row>
    <row r="7" spans="1:2" x14ac:dyDescent="0.25">
      <c r="A7" t="s">
        <v>58</v>
      </c>
      <c r="B7" s="18">
        <f>-MAX(Forecast!F9,0)*B6</f>
        <v>-2263779038.9372563</v>
      </c>
    </row>
    <row r="8" spans="1:2" x14ac:dyDescent="0.25">
      <c r="A8" t="s">
        <v>59</v>
      </c>
      <c r="B8" s="18">
        <f>IF(OR(Assumptions!$B$33=0,Assumptions!B12&lt;=0),B5,MAX(B5+B7,0))</f>
        <v>3459933300.4757648</v>
      </c>
    </row>
    <row r="9" spans="1:2" x14ac:dyDescent="0.25">
      <c r="A9" t="s">
        <v>60</v>
      </c>
      <c r="B9" s="18">
        <f>B8*(1+Assumptions!B12)/(Assumptions!B26-Assumptions!B12)</f>
        <v>92814940596.42747</v>
      </c>
    </row>
    <row r="10" spans="1:2" x14ac:dyDescent="0.25">
      <c r="A10" t="s">
        <v>61</v>
      </c>
      <c r="B10" s="18">
        <f>B9/(1+Assumptions!B26)^(5-0.5*Assumptions!B32)</f>
        <v>70442164709.5143</v>
      </c>
    </row>
    <row r="11" spans="1:2" x14ac:dyDescent="0.25">
      <c r="A11" t="s">
        <v>62</v>
      </c>
      <c r="B11" s="18">
        <f>Forecast!B17+B10</f>
        <v>73812989408.81842</v>
      </c>
    </row>
    <row r="12" spans="1:2" x14ac:dyDescent="0.25">
      <c r="A12" t="s">
        <v>63</v>
      </c>
      <c r="B12" s="18">
        <f>-Assumptions!B30</f>
        <v>-72436000000</v>
      </c>
    </row>
    <row r="13" spans="1:2" x14ac:dyDescent="0.25">
      <c r="A13" t="s">
        <v>64</v>
      </c>
      <c r="B13" s="18">
        <f>B11+B12</f>
        <v>1376989408.8184204</v>
      </c>
    </row>
    <row r="14" spans="1:2" x14ac:dyDescent="0.25">
      <c r="A14" s="19" t="s">
        <v>65</v>
      </c>
      <c r="B14" s="24">
        <f>B13/Assumptions!B31</f>
        <v>1.2434458611986845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12474666592.121609</v>
      </c>
    </row>
    <row r="18" spans="1:2" x14ac:dyDescent="0.25">
      <c r="A18" t="s">
        <v>60</v>
      </c>
      <c r="B18" s="18">
        <f>B17*Assumptions!B13</f>
        <v>160034596842.0836</v>
      </c>
    </row>
    <row r="19" spans="1:2" x14ac:dyDescent="0.25">
      <c r="A19" t="s">
        <v>61</v>
      </c>
      <c r="B19" s="18">
        <f>B18/(1+Assumptions!B26)^(5-0.5*Assumptions!B32)</f>
        <v>121458715132.8165</v>
      </c>
    </row>
    <row r="20" spans="1:2" x14ac:dyDescent="0.25">
      <c r="A20" t="s">
        <v>62</v>
      </c>
      <c r="B20" s="18">
        <f>Forecast!B17+B19</f>
        <v>124829539832.12062</v>
      </c>
    </row>
    <row r="21" spans="1:2" x14ac:dyDescent="0.25">
      <c r="A21" t="s">
        <v>63</v>
      </c>
      <c r="B21" s="18">
        <f>-Assumptions!B30</f>
        <v>-72436000000</v>
      </c>
    </row>
    <row r="22" spans="1:2" x14ac:dyDescent="0.25">
      <c r="A22" t="s">
        <v>64</v>
      </c>
      <c r="B22" s="18">
        <f>B20+B21</f>
        <v>52393539832.12062</v>
      </c>
    </row>
    <row r="23" spans="1:2" x14ac:dyDescent="0.25">
      <c r="A23" s="19" t="s">
        <v>65</v>
      </c>
      <c r="B23" s="25">
        <f>B22/Assumptions!B31</f>
        <v>47.31229582491999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85.52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1.2434458611986845</v>
      </c>
    </row>
    <row r="29" spans="1:2" x14ac:dyDescent="0.25">
      <c r="A29" s="19" t="s">
        <v>73</v>
      </c>
      <c r="B29" s="12">
        <f>B28/B26-1</f>
        <v>-0.9854601746819611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0.04321</v>
      </c>
      <c r="B5" s="31">
        <v>48.28896378113095</v>
      </c>
      <c r="C5" s="31">
        <v>55.162372329616545</v>
      </c>
      <c r="D5" s="31">
        <v>65.59043260380292</v>
      </c>
      <c r="E5" s="31">
        <v>83.6094637471809</v>
      </c>
      <c r="F5" s="31">
        <v>123.08847465595902</v>
      </c>
    </row>
    <row r="6" spans="1:6" x14ac:dyDescent="0.25">
      <c r="A6" s="30">
        <v>0.05321</v>
      </c>
      <c r="B6" s="31">
        <v>15.865066120090528</v>
      </c>
      <c r="C6" s="31">
        <v>16.295389305641887</v>
      </c>
      <c r="D6" s="31">
        <v>16.742288384924134</v>
      </c>
      <c r="E6" s="31">
        <v>17.2164759131275</v>
      </c>
      <c r="F6" s="31">
        <v>17.740430019511425</v>
      </c>
    </row>
    <row r="7" spans="1:6" x14ac:dyDescent="0.25">
      <c r="A7" s="30">
        <v>0.06321</v>
      </c>
      <c r="B7" s="31">
        <v>0.622482569801893</v>
      </c>
      <c r="C7" s="31">
        <v>0.9327759833377298</v>
      </c>
      <c r="D7" s="32">
        <v>1.2430693968735391</v>
      </c>
      <c r="E7" s="31">
        <v>1.5533628104093624</v>
      </c>
      <c r="F7" s="31">
        <v>1.8636562239451855</v>
      </c>
    </row>
    <row r="8" spans="1:6" x14ac:dyDescent="0.25">
      <c r="A8" s="30">
        <v>0.07321</v>
      </c>
      <c r="B8" s="31">
        <v>-10.291896326786436</v>
      </c>
      <c r="C8" s="31">
        <v>-10.03503869175113</v>
      </c>
      <c r="D8" s="31">
        <v>-9.778181056715846</v>
      </c>
      <c r="E8" s="31">
        <v>-9.521323421680547</v>
      </c>
      <c r="F8" s="31">
        <v>-9.264465786645248</v>
      </c>
    </row>
    <row r="9" spans="1:6" x14ac:dyDescent="0.25">
      <c r="A9" s="30">
        <v>0.08321</v>
      </c>
      <c r="B9" s="31">
        <v>-18.49783871534171</v>
      </c>
      <c r="C9" s="31">
        <v>-18.28108747594383</v>
      </c>
      <c r="D9" s="31">
        <v>-18.064336236545977</v>
      </c>
      <c r="E9" s="31">
        <v>-17.84758499714812</v>
      </c>
      <c r="F9" s="31">
        <v>-17.63083375775027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29553000000</v>
      </c>
      <c r="C5" s="18">
        <v>26724000000</v>
      </c>
      <c r="D5" s="18">
        <v>25253000000</v>
      </c>
      <c r="E5" s="18">
        <v>29279000000</v>
      </c>
      <c r="F5" s="8" t="s">
        <v>84</v>
      </c>
    </row>
    <row r="6" spans="1:6" x14ac:dyDescent="0.25">
      <c r="A6" t="s">
        <v>44</v>
      </c>
      <c r="B6" s="18">
        <v>7285000000</v>
      </c>
      <c r="C6" s="18">
        <v>7068000000</v>
      </c>
      <c r="D6" s="18">
        <v>5826000000</v>
      </c>
      <c r="E6" s="18">
        <v>5370000000</v>
      </c>
      <c r="F6" s="8" t="s">
        <v>85</v>
      </c>
    </row>
    <row r="7" spans="1:6" x14ac:dyDescent="0.25">
      <c r="A7" t="s">
        <v>86</v>
      </c>
      <c r="B7" s="18">
        <v>6030000000</v>
      </c>
      <c r="C7" s="18">
        <v>5266000000</v>
      </c>
      <c r="D7" s="18">
        <v>4986000000</v>
      </c>
      <c r="E7" s="18">
        <v>4064000000</v>
      </c>
      <c r="F7" s="8" t="s">
        <v>87</v>
      </c>
    </row>
    <row r="8" spans="1:6" x14ac:dyDescent="0.25">
      <c r="A8" t="s">
        <v>88</v>
      </c>
      <c r="B8" s="18">
        <v>12737000000</v>
      </c>
      <c r="C8" s="18">
        <v>8955000000</v>
      </c>
      <c r="D8" s="18">
        <v>9095000000</v>
      </c>
      <c r="E8" s="18">
        <v>7923000000</v>
      </c>
      <c r="F8" s="8" t="s">
        <v>89</v>
      </c>
    </row>
    <row r="9" spans="1:6" x14ac:dyDescent="0.25">
      <c r="A9" t="s">
        <v>90</v>
      </c>
      <c r="B9" s="18">
        <v>-399000000</v>
      </c>
      <c r="C9" s="18">
        <v>-1421000000</v>
      </c>
      <c r="D9" s="18">
        <v>135000000</v>
      </c>
      <c r="E9" s="18">
        <v>-160000000</v>
      </c>
      <c r="F9" s="8" t="s">
        <v>91</v>
      </c>
    </row>
    <row r="10" spans="1:6" x14ac:dyDescent="0.25">
      <c r="A10" t="s">
        <v>92</v>
      </c>
      <c r="B10" s="18">
        <v>74075000000</v>
      </c>
      <c r="C10" s="18">
        <v>66277000000</v>
      </c>
      <c r="D10" s="18">
        <v>63490000000</v>
      </c>
      <c r="E10" s="18">
        <v>59135000000</v>
      </c>
      <c r="F10" s="8" t="s">
        <v>93</v>
      </c>
    </row>
    <row r="11" spans="1:6" x14ac:dyDescent="0.25">
      <c r="A11" t="s">
        <v>94</v>
      </c>
      <c r="B11" s="18">
        <v>1639000000</v>
      </c>
      <c r="C11" s="18">
        <v>1070000000</v>
      </c>
      <c r="D11" s="18">
        <v>748000000</v>
      </c>
      <c r="E11" s="18">
        <v>1917000000</v>
      </c>
      <c r="F11" s="8" t="s">
        <v>95</v>
      </c>
    </row>
    <row r="12" spans="1:6" x14ac:dyDescent="0.25">
      <c r="A12" t="s">
        <v>32</v>
      </c>
      <c r="B12" s="34">
        <v>1107397959</v>
      </c>
      <c r="C12" s="34">
        <v>1103007519</v>
      </c>
      <c r="D12" s="34">
        <v>1098000000</v>
      </c>
      <c r="E12" s="34">
        <v>1080981595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