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<sst xmlns="http://schemas.openxmlformats.org/spreadsheetml/2006/main" count="117" uniqueCount="105">
  <si>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Washington H. Soul Pattinson and Company Limited (SOL.AX)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</si>
  <si>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</si>
  <si>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</si>
  <si>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</si>
  <si>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</si>
  <si>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</si>
  <si>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</si>
  <si>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</si>
  <si>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</si>
  <si>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</si>
  <si>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</si>
  <si>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</si>
  <si>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</si>
  <si>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</si>
  <si>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</si>
  <si>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</si>
  <si>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</si>
  <si>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</si>
  <si>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</si>
  <si>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</si>
  <si>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</si>
  <si>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</si>
  <si>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</si>
  <si>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</si>
  <si>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</si>
  <si>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</si>
  <si>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</si>
  <si>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</si>
  <si>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</si>
  <si>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</si>
  <si>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2025-07-31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</si>
  <si>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</si>
  <si>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</si>
  <si>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</si>
  <si>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</si>
  <si>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</si>
  <si>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</si>
  <si>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</si>
  <si>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</si>
  <si>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</si>
  <si>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</si>
  <si>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</si>
  <si>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</si>
  <si>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</si>
  <si>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</si>
  <si>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</si>
  <si>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</si>
  <si>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</si>
  <si>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</si>
  <si>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</si>
  <si>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</si>
  <si>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</si>
  <si>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</si>
  <si>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</si>
  <si>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</si>
  <si>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</si>
  <si>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</si>
  <si>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</si>
  <si>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</si>
  <si>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</si>
  <si>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</si>
  <si>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</si>
  <si>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</si>
  <si>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</si>
  <si>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</si>
  <si>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</si>
  <si>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</si>
  <si>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</si>
  <si>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</si>
  <si>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</si>
  <si>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</si>
  <si>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</si>
  <si>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</si>
  <si>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</si>
  <si>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</si>
  <si>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</si>
  <si>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</si>
  <si>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</si>
  <si>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</si>
  <si>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2025-07-31</t>
  </si>
  <si>
    <t>2024-07-31</t>
  </si>
  <si>
    <t>2023-07-31</t>
  </si>
  <si>
    <t>2022-07-31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</si>
  <si>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</si>
  <si>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</si>
  <si>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</si>
  <si>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</si>
  <si>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</si>
  <si>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</si>
  <si>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</si>
  <si>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</si>
  <si>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</si>
  <si>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</si>
  <si>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</si>
  <si>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</si>
  <si>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</si>
  <si>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</si>
  <si>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</si>
  <si>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</si>
  <si>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</si>
  <si>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Consensus rests on as few as 1 analyst estimate(s).</t>
  </si>
  <si>
    <t>Adjusted: Free cashflow is negative in at least one forecast year, so terminal value carries most of the valuation.</t>
  </si>
  <si>
    <t>Adjusted: Capital expenditure runs at 28.5% of revenue against depreciation of 10.0%.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</si>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</sst>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-0.37848026690179404</v>
      </c>
    </row>
    <row r="7" spans="1:2" x14ac:dyDescent="0.25">
      <c r="A7" t="s">
        <v>5</v>
      </c>
      <c r="B7" s="6">
        <v>-0.11436856793974891</v>
      </c>
    </row>
    <row r="8" spans="1:2" x14ac:dyDescent="0.25">
      <c r="A8" t="s">
        <v>6</v>
      </c>
      <c r="B8" s="6">
        <v>0.17292377701934017</v>
      </c>
    </row>
    <row r="9" spans="1:2" x14ac:dyDescent="0.25">
      <c r="A9" t="s">
        <v>7</v>
      </c>
      <c r="B9" s="6">
        <v>0.1002263080649527</v>
      </c>
    </row>
    <row r="10" spans="1:2" x14ac:dyDescent="0.25">
      <c r="A10" t="s">
        <v>8</v>
      </c>
      <c r="B10" s="6">
        <v>0.2853269776770448</v>
      </c>
    </row>
    <row r="11" spans="1:2" x14ac:dyDescent="0.25">
      <c r="A11" t="s">
        <v>9</v>
      </c>
      <c r="B11" s="6">
        <v>0.03544085358877671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0.10466264909368886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0.43787</v>
      </c>
      <c r="C19" s="8" t="s">
        <v>19</v>
      </c>
    </row>
    <row r="20" spans="1:2" x14ac:dyDescent="0.25">
      <c r="A20" t="s">
        <v>20</v>
      </c>
      <c r="B20" s="10">
        <f>B17+B19*B18</f>
        <v>0.0797522</v>
      </c>
    </row>
    <row r="21" spans="1:3" x14ac:dyDescent="0.25">
      <c r="A21" t="s">
        <v>21</v>
      </c>
      <c r="B21" s="6">
        <v>0.06824324324324324</v>
      </c>
      <c r="C21" s="8" t="s">
        <v>22</v>
      </c>
    </row>
    <row r="22" spans="1:2" x14ac:dyDescent="0.25">
      <c r="A22" t="s">
        <v>23</v>
      </c>
      <c r="B22" s="11">
        <v>17126779904</v>
      </c>
    </row>
    <row r="23" spans="1:2" x14ac:dyDescent="0.25">
      <c r="A23" t="s">
        <v>24</v>
      </c>
      <c r="B23" s="11">
        <v>1010100000</v>
      </c>
    </row>
    <row r="24" spans="1:2" x14ac:dyDescent="0.25">
      <c r="A24" t="s">
        <v>25</v>
      </c>
      <c r="B24" s="10">
        <f>B22/(B22+B23)</f>
        <v>0.9443068485127242</v>
      </c>
    </row>
    <row r="25" spans="1:2" x14ac:dyDescent="0.25">
      <c r="A25" t="s">
        <v>26</v>
      </c>
      <c r="B25" s="10">
        <f>1-B24</f>
        <v>0.05569315148727583</v>
      </c>
    </row>
    <row r="26" spans="1:2" x14ac:dyDescent="0.25">
      <c r="A26" t="s">
        <v>27</v>
      </c>
      <c r="B26" s="12">
        <f>B24*B20+B25*B21*(1-B8)</f>
        <v>0.07845400176502172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613400000</v>
      </c>
      <c r="C29" s="8" t="s">
        <v>30</v>
      </c>
    </row>
    <row r="30" spans="1:2" x14ac:dyDescent="0.25">
      <c r="A30" t="s">
        <v>31</v>
      </c>
      <c r="B30" s="11">
        <v>-150000000</v>
      </c>
    </row>
    <row r="31" spans="1:2" x14ac:dyDescent="0.25">
      <c r="A31" t="s">
        <v>32</v>
      </c>
      <c r="B31" s="13">
        <v>327724287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-0.37848026690179404</v>
      </c>
      <c r="C5" s="10">
        <f>Assumptions!B6</f>
        <v>-0.37848026690179404</v>
      </c>
      <c r="D5" s="10">
        <f>Assumptions!B6</f>
        <v>-0.37848026690179404</v>
      </c>
      <c r="E5" s="10">
        <f>Assumptions!B6</f>
        <v>-0.37848026690179404</v>
      </c>
      <c r="F5" s="10">
        <f>Assumptions!B6</f>
        <v>-0.37848026690179404</v>
      </c>
    </row>
    <row r="6" spans="1:6" x14ac:dyDescent="0.25">
      <c r="A6" t="s">
        <v>43</v>
      </c>
      <c r="B6" s="18">
        <f>Assumptions!B29*(1+B5)</f>
        <v>381240204.28243953</v>
      </c>
      <c r="C6" s="18">
        <f>B6*(1+C5)</f>
        <v>236948310.01192734</v>
      </c>
      <c r="D6" s="18">
        <f>C6*(1+D5)</f>
        <v>147268050.39668405</v>
      </c>
      <c r="E6" s="18">
        <f>D6*(1+E5)</f>
        <v>91529999.37644021</v>
      </c>
      <c r="F6" s="18">
        <f>E6*(1+F5)</f>
        <v>56887700.78292408</v>
      </c>
    </row>
    <row r="7" spans="1:6" x14ac:dyDescent="0.25">
      <c r="A7" t="s">
        <v>5</v>
      </c>
      <c r="B7" s="10">
        <f>Assumptions!B7</f>
        <v>-0.11436856793974891</v>
      </c>
      <c r="C7" s="10">
        <f>Assumptions!B7</f>
        <v>-0.11436856793974891</v>
      </c>
      <c r="D7" s="10">
        <f>Assumptions!B7</f>
        <v>-0.11436856793974891</v>
      </c>
      <c r="E7" s="10">
        <f>Assumptions!B7</f>
        <v>-0.11436856793974891</v>
      </c>
      <c r="F7" s="10">
        <f>Assumptions!B7</f>
        <v>-0.11436856793974891</v>
      </c>
    </row>
    <row r="8" spans="1:6" x14ac:dyDescent="0.25">
      <c r="A8" t="s">
        <v>44</v>
      </c>
      <c r="B8" s="18">
        <f>B6*B7</f>
        <v>-43601896.20483994</v>
      </c>
      <c r="C8" s="18">
        <f>C6*C7</f>
        <v>-27099438.8918078</v>
      </c>
      <c r="D8" s="18">
        <f>D6*D7</f>
        <v>-16842836.027147528</v>
      </c>
      <c r="E8" s="18">
        <f>E6*E7</f>
        <v>-10468154.952209577</v>
      </c>
      <c r="F8" s="18">
        <f>F6*F7</f>
        <v>-6506164.87192796</v>
      </c>
    </row>
    <row r="9" spans="1:6" x14ac:dyDescent="0.25">
      <c r="A9" t="s">
        <v>45</v>
      </c>
      <c r="B9" s="18">
        <f>B8*(1-Assumptions!B8)</f>
        <v>-36062091.62789378</v>
      </c>
      <c r="C9" s="18">
        <f>C8*(1-Assumptions!B8)</f>
        <v>-22413301.563531592</v>
      </c>
      <c r="D9" s="18">
        <f>D8*(1-Assumptions!B8)</f>
        <v>-13930309.20561576</v>
      </c>
      <c r="E9" s="18">
        <f>E8*(1-Assumptions!B8)</f>
        <v>-8657962.059449786</v>
      </c>
      <c r="F9" s="18">
        <f>F8*(1-Assumptions!B8)</f>
        <v>-5381094.268363626</v>
      </c>
    </row>
    <row r="10" spans="1:6" x14ac:dyDescent="0.25">
      <c r="A10" t="s">
        <v>46</v>
      </c>
      <c r="B10" s="18">
        <f>B6*Assumptions!B9</f>
        <v>38210298.16115728</v>
      </c>
      <c r="C10" s="18">
        <f>C6*Assumptions!B9</f>
        <v>23748454.314725343</v>
      </c>
      <c r="D10" s="18">
        <f>D6*Assumptions!B9</f>
        <v>14760132.987183034</v>
      </c>
      <c r="E10" s="18">
        <f>E6*Assumptions!B9</f>
        <v>9173713.914688025</v>
      </c>
      <c r="F10" s="18">
        <f>F6*Assumptions!B9</f>
        <v>5701644.223776199</v>
      </c>
    </row>
    <row r="11" spans="1:6" x14ac:dyDescent="0.25">
      <c r="A11" t="s">
        <v>47</v>
      </c>
      <c r="B11" s="18">
        <f>-B6*Assumptions!B10</f>
        <v>-108778115.25688761</v>
      </c>
      <c r="C11" s="18">
        <f>-C6*Assumptions!B10</f>
        <v>-67607745.16138668</v>
      </c>
      <c r="D11" s="18">
        <f>-D6*Assumptions!B10</f>
        <v>-42019547.72807658</v>
      </c>
      <c r="E11" s="18">
        <f>-E6*Assumptions!B10</f>
        <v>-26115978.08886148</v>
      </c>
      <c r="F11" s="18">
        <f>-F6*Assumptions!B10</f>
        <v>-16231595.731387783</v>
      </c>
    </row>
    <row r="12" spans="1:6" x14ac:dyDescent="0.25">
      <c r="A12" t="s">
        <v>48</v>
      </c>
      <c r="B12" s="18">
        <f>-(B6-Assumptions!B29)*Assumptions!B11</f>
        <v>8227941.329226371</v>
      </c>
      <c r="C12" s="18">
        <f>-(C6-B6)*Assumptions!B11</f>
        <v>5113827.898888472</v>
      </c>
      <c r="D12" s="18">
        <f>-(D6-C6)*Assumptions!B11</f>
        <v>3178344.950827322</v>
      </c>
      <c r="E12" s="18">
        <f>-(E6-D6)*Assumptions!B11</f>
        <v>1975404.1055322282</v>
      </c>
      <c r="F12" s="18">
        <f>-(F6-E6)*Assumptions!B11</f>
        <v>1227752.6324314906</v>
      </c>
    </row>
    <row r="13" spans="1:6" x14ac:dyDescent="0.25">
      <c r="A13" s="19" t="s">
        <v>49</v>
      </c>
      <c r="B13" s="20">
        <f>B9+B10+B11+B12</f>
        <v>-98401967.39439774</v>
      </c>
      <c r="C13" s="20">
        <f>C9+C10+C11+C12</f>
        <v>-61158764.51130447</v>
      </c>
      <c r="D13" s="20">
        <f>D9+D10+D11+D12</f>
        <v>-38011378.99568198</v>
      </c>
      <c r="E13" s="20">
        <f>E9+E10+E11+E12</f>
        <v>-23624822.128091015</v>
      </c>
      <c r="F13" s="20">
        <f>F9+F10+F11+F12</f>
        <v>-14683293.143543718</v>
      </c>
    </row>
    <row r="14" spans="1:6" x14ac:dyDescent="0.25">
      <c r="A14" t="s">
        <v>50</v>
      </c>
      <c r="B14" s="21">
        <f>1/(1+Assumptions!$B$26)^(1-0.5*Assumptions!$B$32)</f>
        <v>0.9629399100128764</v>
      </c>
      <c r="C14" s="21">
        <f>1/(1+Assumptions!$B$26)^(2-0.5*Assumptions!$B$32)</f>
        <v>0.8928891806575965</v>
      </c>
      <c r="D14" s="21">
        <f>1/(1+Assumptions!$B$26)^(3-0.5*Assumptions!$B$32)</f>
        <v>0.8279344127763208</v>
      </c>
      <c r="E14" s="21">
        <f>1/(1+Assumptions!$B$26)^(4-0.5*Assumptions!$B$32)</f>
        <v>0.7677048918371159</v>
      </c>
      <c r="F14" s="21">
        <f>1/(1+Assumptions!$B$26)^(5-0.5*Assumptions!$B$32)</f>
        <v>0.7118568715779005</v>
      </c>
    </row>
    <row r="15" spans="1:6" x14ac:dyDescent="0.25">
      <c r="A15" s="19" t="s">
        <v>51</v>
      </c>
      <c r="B15" s="20">
        <f>B13*B14</f>
        <v>-94755181.62785135</v>
      </c>
      <c r="C15" s="20">
        <f>C13*C14</f>
        <v>-54607999.13452954</v>
      </c>
      <c r="D15" s="20">
        <f>D13*D14</f>
        <v>-31470928.747608136</v>
      </c>
      <c r="E15" s="20">
        <f>E13*E14</f>
        <v>-18136891.516517214</v>
      </c>
      <c r="F15" s="20">
        <f>F13*F14</f>
        <v>-10452403.121624267</v>
      </c>
    </row>
    <row r="17" spans="1:2" x14ac:dyDescent="0.25">
      <c r="A17" s="22" t="s">
        <v>52</v>
      </c>
      <c r="B17" s="23">
        <f>SUM(B15:F15)</f>
        <v>-209423404.1481305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-14683293.143543718</v>
      </c>
    </row>
    <row r="5" spans="1:2" x14ac:dyDescent="0.25">
      <c r="A5" t="s">
        <v>56</v>
      </c>
      <c r="B5" s="18">
        <f>IF(Assumptions!$B$33=0,B4,B4-Forecast!F11-Forecast!F10-Forecast!F12)</f>
        <v>-5381094.268363626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0.23886267179823845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-209423404.1481305</v>
      </c>
    </row>
    <row r="12" spans="1:2" x14ac:dyDescent="0.25">
      <c r="A12" t="s">
        <v>63</v>
      </c>
      <c r="B12" s="18">
        <f>-Assumptions!B30</f>
        <v>150000000</v>
      </c>
    </row>
    <row r="13" spans="1:2" x14ac:dyDescent="0.25">
      <c r="A13" t="s">
        <v>64</v>
      </c>
      <c r="B13" s="18">
        <f>B11+B12</f>
        <v>-59423404.14813051</v>
      </c>
    </row>
    <row r="14" spans="1:2" x14ac:dyDescent="0.25">
      <c r="A14" s="19" t="s">
        <v>65</v>
      </c>
      <c r="B14" s="24">
        <f>B13/Assumptions!B31</f>
        <v>-0.18132133169651388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-804520.6481517609</v>
      </c>
    </row>
    <row r="18" spans="1:2" x14ac:dyDescent="0.25">
      <c r="A18" t="s">
        <v>60</v>
      </c>
      <c r="B18" s="18">
        <f>B17*Assumptions!B13</f>
        <v>-6436165.185214087</v>
      </c>
    </row>
    <row r="19" spans="1:2" x14ac:dyDescent="0.25">
      <c r="A19" t="s">
        <v>61</v>
      </c>
      <c r="B19" s="18">
        <f>B18/(1+Assumptions!B26)^(5-0.5*Assumptions!B32)</f>
        <v>-4581628.413705098</v>
      </c>
    </row>
    <row r="20" spans="1:2" x14ac:dyDescent="0.25">
      <c r="A20" t="s">
        <v>62</v>
      </c>
      <c r="B20" s="18">
        <f>Forecast!B17+B19</f>
        <v>-214005032.56183562</v>
      </c>
    </row>
    <row r="21" spans="1:2" x14ac:dyDescent="0.25">
      <c r="A21" t="s">
        <v>63</v>
      </c>
      <c r="B21" s="18">
        <f>-Assumptions!B30</f>
        <v>150000000</v>
      </c>
    </row>
    <row r="22" spans="1:2" x14ac:dyDescent="0.25">
      <c r="A22" t="s">
        <v>64</v>
      </c>
      <c r="B22" s="18">
        <f>B20+B21</f>
        <v>-64005032.56183562</v>
      </c>
    </row>
    <row r="23" spans="1:2" x14ac:dyDescent="0.25">
      <c r="A23" s="19" t="s">
        <v>65</v>
      </c>
      <c r="B23" s="25">
        <f>B22/Assumptions!B31</f>
        <v>-0.1953014625426147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45.08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-0.18132133169651388</v>
      </c>
    </row>
    <row r="29" spans="1:2" x14ac:dyDescent="0.25">
      <c r="A29" s="19" t="s">
        <v>73</v>
      </c>
      <c r="B29" s="12">
        <f>B28/B26-1</f>
        <v>-1.004022212326897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0.058454</v>
      </c>
      <c r="B5" s="31">
        <v>-0.19993623642141142</v>
      </c>
      <c r="C5" s="31">
        <v>-0.19993623642141142</v>
      </c>
      <c r="D5" s="31">
        <v>-0.19993623642141142</v>
      </c>
      <c r="E5" s="31">
        <v>-0.19993623642141142</v>
      </c>
      <c r="F5" s="31">
        <v>-0.19993623642141142</v>
      </c>
    </row>
    <row r="6" spans="1:6" x14ac:dyDescent="0.25">
      <c r="A6" s="30">
        <v>0.068454</v>
      </c>
      <c r="B6" s="31">
        <v>-0.19047829264988986</v>
      </c>
      <c r="C6" s="31">
        <v>-0.19047829264988986</v>
      </c>
      <c r="D6" s="31">
        <v>-0.19047829264988986</v>
      </c>
      <c r="E6" s="31">
        <v>-0.19047829264988986</v>
      </c>
      <c r="F6" s="31">
        <v>-0.19047829264988986</v>
      </c>
    </row>
    <row r="7" spans="1:6" x14ac:dyDescent="0.25">
      <c r="A7" s="30">
        <v>0.078454</v>
      </c>
      <c r="B7" s="31">
        <v>-0.18132133328698014</v>
      </c>
      <c r="C7" s="31">
        <v>-0.18132133328698014</v>
      </c>
      <c r="D7" s="32">
        <v>-0.18132133328698014</v>
      </c>
      <c r="E7" s="31">
        <v>-0.18132133328698014</v>
      </c>
      <c r="F7" s="31">
        <v>-0.18132133328698014</v>
      </c>
    </row>
    <row r="8" spans="1:6" x14ac:dyDescent="0.25">
      <c r="A8" s="30">
        <v>0.088454</v>
      </c>
      <c r="B8" s="31">
        <v>-0.17245186434788115</v>
      </c>
      <c r="C8" s="31">
        <v>-0.17245186434788115</v>
      </c>
      <c r="D8" s="31">
        <v>-0.17245186434788115</v>
      </c>
      <c r="E8" s="31">
        <v>-0.17245186434788115</v>
      </c>
      <c r="F8" s="31">
        <v>-0.17245186434788115</v>
      </c>
    </row>
    <row r="9" spans="1:6" x14ac:dyDescent="0.25">
      <c r="A9" s="30">
        <v>0.098454</v>
      </c>
      <c r="B9" s="31">
        <v>-0.16385714789233466</v>
      </c>
      <c r="C9" s="31">
        <v>-0.16385714789233466</v>
      </c>
      <c r="D9" s="31">
        <v>-0.16385714789233466</v>
      </c>
      <c r="E9" s="31">
        <v>-0.16385714789233466</v>
      </c>
      <c r="F9" s="31">
        <v>-0.16385714789233466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613400000</v>
      </c>
      <c r="C5" s="18">
        <v>589500000</v>
      </c>
      <c r="D5" s="18">
        <v>360993000</v>
      </c>
      <c r="E5" s="18">
        <v>2554930000</v>
      </c>
      <c r="F5" s="8" t="s">
        <v>84</v>
      </c>
    </row>
    <row r="6" spans="1:6" x14ac:dyDescent="0.25">
      <c r="A6" t="s">
        <v>44</v>
      </c>
      <c r="B6" s="18">
        <v>-270200000</v>
      </c>
      <c r="C6" s="18">
        <v>-138500000</v>
      </c>
      <c r="D6" s="18">
        <v>-86905000</v>
      </c>
      <c r="E6" s="18">
        <v>1171959000</v>
      </c>
      <c r="F6" s="8" t="s">
        <v>85</v>
      </c>
    </row>
    <row r="7" spans="1:6" x14ac:dyDescent="0.25">
      <c r="A7" t="s">
        <v>86</v>
      </c>
      <c r="B7" s="18">
        <v>74100000</v>
      </c>
      <c r="C7" s="18">
        <v>61200000</v>
      </c>
      <c r="D7" s="18">
        <v>41691000</v>
      </c>
      <c r="E7" s="18">
        <v>155331000</v>
      </c>
      <c r="F7" s="8" t="s">
        <v>87</v>
      </c>
    </row>
    <row r="8" spans="1:6" x14ac:dyDescent="0.25">
      <c r="A8" t="s">
        <v>88</v>
      </c>
      <c r="B8" s="18">
        <v>122600000</v>
      </c>
      <c r="C8" s="18">
        <v>173600000</v>
      </c>
      <c r="D8" s="18">
        <v>187312000</v>
      </c>
      <c r="E8" s="18">
        <v>327214000</v>
      </c>
      <c r="F8" s="8" t="s">
        <v>89</v>
      </c>
    </row>
    <row r="9" spans="1:6" x14ac:dyDescent="0.25">
      <c r="A9" t="s">
        <v>90</v>
      </c>
      <c r="B9" s="18">
        <v>-63000000</v>
      </c>
      <c r="C9" s="18">
        <v>94062000</v>
      </c>
      <c r="D9" s="18">
        <v>-77755000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1010100000</v>
      </c>
      <c r="C10" s="18">
        <v>765900000</v>
      </c>
      <c r="D10" s="18">
        <v>784414000</v>
      </c>
      <c r="E10" s="18">
        <v>855480000</v>
      </c>
      <c r="F10" s="8" t="s">
        <v>93</v>
      </c>
    </row>
    <row r="11" spans="1:6" x14ac:dyDescent="0.25">
      <c r="A11" t="s">
        <v>94</v>
      </c>
      <c r="B11" s="18">
        <v>1160100000</v>
      </c>
      <c r="C11" s="18">
        <v>261200000</v>
      </c>
      <c r="D11" s="18">
        <v>1328959000</v>
      </c>
      <c r="E11" s="18">
        <v>1652301000</v>
      </c>
      <c r="F11" s="8" t="s">
        <v>95</v>
      </c>
    </row>
    <row r="12" spans="1:6" x14ac:dyDescent="0.25">
      <c r="A12" t="s">
        <v>32</v>
      </c>
      <c r="B12" s="34">
        <v>327724287</v>
      </c>
      <c r="C12" s="34">
        <v>361000000</v>
      </c>
      <c r="D12" s="34">
        <v>320085000</v>
      </c>
      <c r="E12" s="34">
        <v>298239000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54" customHeight="1" spans="1:6" x14ac:dyDescent="0.25">
      <c r="A20" s="35" t="s">
        <v>102</v>
      </c>
      <c r="B20" s="35"/>
      <c r="C20" s="35"/>
      <c r="D20" s="35"/>
      <c r="E20" s="35"/>
      <c r="F20" s="35"/>
    </row>
    <row r="21" ht="22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