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<sst xmlns="http://schemas.openxmlformats.org/spreadsheetml/2006/main" count="119" uniqueCount="106">
  <si>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Solventum Corporation (SOLV)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</si>
  <si>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</si>
  <si>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</si>
  <si>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</si>
  <si>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</si>
  <si>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</si>
  <si>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</si>
  <si>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</si>
  <si>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</si>
  <si>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</si>
  <si>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</si>
  <si>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</si>
  <si>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</si>
  <si>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</si>
  <si>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</si>
  <si>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</si>
  <si>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</si>
  <si>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</si>
  <si>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</si>
  <si>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</si>
  <si>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</si>
  <si>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</si>
  <si>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</si>
  <si>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</si>
  <si>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+ 200bp, the spread for a B+ rating at 1.8x interest cover, capped at 200bp because one year's cover is too noisy to charge more. Book interest / average debt was lower, at 5.3%.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</si>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</sst>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-0.011839177177177196</v>
      </c>
    </row>
    <row r="7" spans="1:2" x14ac:dyDescent="0.25">
      <c r="A7" t="s">
        <v>4</v>
      </c>
      <c r="B7" s="5">
        <v>0.15231427857380564</v>
      </c>
    </row>
    <row r="8" spans="1:2" x14ac:dyDescent="0.25">
      <c r="A8" t="s">
        <v>5</v>
      </c>
      <c r="B8" s="5">
        <v>0.19941313155808554</v>
      </c>
    </row>
    <row r="9" spans="1:2" x14ac:dyDescent="0.25">
      <c r="A9" t="s">
        <v>6</v>
      </c>
      <c r="B9" s="5">
        <v>0.06637831218411996</v>
      </c>
    </row>
    <row r="10" spans="1:3" x14ac:dyDescent="0.25">
      <c r="A10" t="s">
        <v>7</v>
      </c>
      <c r="B10" s="5">
        <v>0.03945397896191185</v>
      </c>
      <c r="C10" s="6" t="s">
        <v>8</v>
      </c>
    </row>
    <row r="11" spans="1:2" x14ac:dyDescent="0.25">
      <c r="A11" t="s">
        <v>9</v>
      </c>
      <c r="B11" s="5">
        <v>0.1881343537022444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16.058247707404103</v>
      </c>
    </row>
    <row r="14" spans="1:3" x14ac:dyDescent="0.25">
      <c r="A14" t="s">
        <v>12</v>
      </c>
      <c r="B14" s="5">
        <v>0.09394269438020578</v>
      </c>
      <c r="C14" s="6" t="s">
        <v>13</v>
      </c>
    </row>
    <row r="15" spans="1:3" x14ac:dyDescent="0.25">
      <c r="A15" t="s">
        <v>14</v>
      </c>
      <c r="B15" s="5">
        <v>0.06637831218411996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0.80101</v>
      </c>
      <c r="C19" s="6" t="s">
        <v>21</v>
      </c>
    </row>
    <row r="20" spans="1:2" x14ac:dyDescent="0.25">
      <c r="A20" t="s">
        <v>22</v>
      </c>
      <c r="B20" s="9">
        <f>B17+B19*B18</f>
        <v>0.082822723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13844295680</v>
      </c>
    </row>
    <row r="23" spans="1:2" x14ac:dyDescent="0.25">
      <c r="A23" t="s">
        <v>26</v>
      </c>
      <c r="B23" s="10">
        <v>5035000000</v>
      </c>
    </row>
    <row r="24" spans="1:2" x14ac:dyDescent="0.25">
      <c r="A24" t="s">
        <v>27</v>
      </c>
      <c r="B24" s="9">
        <f>B22/(B22+B23)</f>
        <v>0.7333057289137176</v>
      </c>
    </row>
    <row r="25" spans="1:2" x14ac:dyDescent="0.25">
      <c r="A25" t="s">
        <v>28</v>
      </c>
      <c r="B25" s="9">
        <f>1-B24</f>
        <v>0.2666942710862824</v>
      </c>
    </row>
    <row r="26" spans="1:2" x14ac:dyDescent="0.25">
      <c r="A26" t="s">
        <v>29</v>
      </c>
      <c r="B26" s="11">
        <f>B24*B20+B25*B21*(1-B8)</f>
        <v>0.07545388980535994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8325000000</v>
      </c>
      <c r="C29" s="6" t="s">
        <v>32</v>
      </c>
    </row>
    <row r="30" spans="1:2" x14ac:dyDescent="0.25">
      <c r="A30" t="s">
        <v>33</v>
      </c>
      <c r="B30" s="10">
        <v>4157000000</v>
      </c>
    </row>
    <row r="31" spans="1:2" x14ac:dyDescent="0.25">
      <c r="A31" t="s">
        <v>34</v>
      </c>
      <c r="B31" s="12">
        <v>175300000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-0.011839177177177196</v>
      </c>
      <c r="C5" s="5">
        <v>0.035691326995033856</v>
      </c>
      <c r="D5" s="5">
        <v>0.03435491112065463</v>
      </c>
      <c r="E5" s="5">
        <v>0.03301849524627539</v>
      </c>
      <c r="F5" s="5">
        <v>0.03168207937189616</v>
      </c>
      <c r="G5" s="5">
        <v>0.03034566349751693</v>
      </c>
      <c r="H5" s="5">
        <v>0.029009247623137696</v>
      </c>
      <c r="I5" s="5">
        <v>0.027672831748758467</v>
      </c>
      <c r="J5" s="5">
        <v>0.026336415874379234</v>
      </c>
      <c r="K5" s="5">
        <v>0.025</v>
      </c>
    </row>
    <row r="6" spans="1:11" x14ac:dyDescent="0.25">
      <c r="A6" t="s">
        <v>50</v>
      </c>
      <c r="B6" s="18">
        <f>Assumptions!B29*(1+B5)</f>
        <v>8226438850</v>
      </c>
      <c r="C6" s="18">
        <f>B6*(1+C5)</f>
        <v>8520051369</v>
      </c>
      <c r="D6" s="18">
        <f>C6*(1+D5)</f>
        <v>8812756976.525408</v>
      </c>
      <c r="E6" s="18">
        <f>D6*(1+E5)</f>
        <v>9103740950.861391</v>
      </c>
      <c r="F6" s="18">
        <f>E6*(1+F5)</f>
        <v>9392166394.247763</v>
      </c>
      <c r="G6" s="18">
        <f>F6*(1+G5)</f>
        <v>9677177915.160294</v>
      </c>
      <c r="H6" s="18">
        <f>G6*(1+H5)</f>
        <v>9957905565.594337</v>
      </c>
      <c r="I6" s="18">
        <f>H6*(1+I5)</f>
        <v>10233469010.881056</v>
      </c>
      <c r="J6" s="18">
        <f>I6*(1+J5)</f>
        <v>10502981906.589191</v>
      </c>
      <c r="K6" s="18">
        <f>J6*(1+K5)</f>
        <v>10765556454.25392</v>
      </c>
    </row>
    <row r="7" spans="1:11" x14ac:dyDescent="0.25">
      <c r="A7" t="s">
        <v>4</v>
      </c>
      <c r="B7" s="9">
        <f>Assumptions!B7</f>
        <v>0.15231427857380564</v>
      </c>
      <c r="C7" s="9">
        <f>Assumptions!B7</f>
        <v>0.15231427857380564</v>
      </c>
      <c r="D7" s="9">
        <f>Assumptions!B7</f>
        <v>0.15231427857380564</v>
      </c>
      <c r="E7" s="9">
        <f>Assumptions!B7</f>
        <v>0.15231427857380564</v>
      </c>
      <c r="F7" s="9">
        <f>Assumptions!B7</f>
        <v>0.15231427857380564</v>
      </c>
      <c r="G7" s="9">
        <f>Assumptions!B7</f>
        <v>0.15231427857380564</v>
      </c>
      <c r="H7" s="9">
        <f>Assumptions!B7</f>
        <v>0.15231427857380564</v>
      </c>
      <c r="I7" s="9">
        <f>Assumptions!B7</f>
        <v>0.15231427857380564</v>
      </c>
      <c r="J7" s="9">
        <f>Assumptions!B7</f>
        <v>0.15231427857380564</v>
      </c>
      <c r="K7" s="9">
        <f>Assumptions!B7</f>
        <v>0.15231427857380564</v>
      </c>
    </row>
    <row r="8" spans="1:11" x14ac:dyDescent="0.25">
      <c r="A8" t="s">
        <v>51</v>
      </c>
      <c r="B8" s="18">
        <f>B6*B7</f>
        <v>1253004098.6692772</v>
      </c>
      <c r="C8" s="18">
        <f>C6*C7</f>
        <v>1297725477.681</v>
      </c>
      <c r="D8" s="18">
        <f>D6*D7</f>
        <v>1342308721.12574</v>
      </c>
      <c r="E8" s="18">
        <f>E6*E7</f>
        <v>1386629735.2532642</v>
      </c>
      <c r="F8" s="18">
        <f>F6*F7</f>
        <v>1430561048.5849893</v>
      </c>
      <c r="G8" s="18">
        <f>G6*G7</f>
        <v>1473972372.7780046</v>
      </c>
      <c r="H8" s="18">
        <f>H6*H7</f>
        <v>1516731202.3295856</v>
      </c>
      <c r="I8" s="18">
        <f>I6*I7</f>
        <v>1558703449.6997445</v>
      </c>
      <c r="J8" s="18">
        <f>J6*J7</f>
        <v>1599754111.9758663</v>
      </c>
      <c r="K8" s="18">
        <f>K6*K7</f>
        <v>1639747964.7752628</v>
      </c>
    </row>
    <row r="9" spans="1:11" x14ac:dyDescent="0.25">
      <c r="A9" t="s">
        <v>52</v>
      </c>
      <c r="B9" s="18">
        <f>B8*(1-Assumptions!B8)</f>
        <v>1003138627.4985201</v>
      </c>
      <c r="C9" s="18">
        <f>C8*(1-Assumptions!B8)</f>
        <v>1038941976.2739192</v>
      </c>
      <c r="D9" s="18">
        <f>D8*(1-Assumptions!B8)</f>
        <v>1074634735.5283272</v>
      </c>
      <c r="E9" s="18">
        <f>E8*(1-Assumptions!B8)</f>
        <v>1110117557.4348516</v>
      </c>
      <c r="F9" s="18">
        <f>F8*(1-Assumptions!B8)</f>
        <v>1145288390.001638</v>
      </c>
      <c r="G9" s="18">
        <f>G8*(1-Assumptions!B8)</f>
        <v>1180042926.0922408</v>
      </c>
      <c r="H9" s="18">
        <f>H8*(1-Assumptions!B8)</f>
        <v>1214275083.5411825</v>
      </c>
      <c r="I9" s="18">
        <f>I8*(1-Assumptions!B8)</f>
        <v>1247877513.6247275</v>
      </c>
      <c r="J9" s="18">
        <f>J8*(1-Assumptions!B8)</f>
        <v>1280742134.7838345</v>
      </c>
      <c r="K9" s="18">
        <f>K8*(1-Assumptions!B8)</f>
        <v>1312760688.1534302</v>
      </c>
    </row>
    <row r="10" spans="1:11" x14ac:dyDescent="0.25">
      <c r="A10" t="s">
        <v>53</v>
      </c>
      <c r="B10" s="18">
        <f>B6*Assumptions!B9</f>
        <v>546057126.1488729</v>
      </c>
      <c r="C10" s="18">
        <f>C6*Assumptions!B9</f>
        <v>565546629.5962207</v>
      </c>
      <c r="D10" s="18">
        <f>D6*Assumptions!B9</f>
        <v>584975933.7905847</v>
      </c>
      <c r="E10" s="18">
        <f>E6*Assumptions!B9</f>
        <v>604290958.8796345</v>
      </c>
      <c r="F10" s="18">
        <f>F6*Assumptions!B9</f>
        <v>623436153.0025784</v>
      </c>
      <c r="G10" s="18">
        <f>G6*Assumptions!B9</f>
        <v>642354736.7137811</v>
      </c>
      <c r="H10" s="18">
        <f>H6*Assumptions!B9</f>
        <v>660988964.3330066</v>
      </c>
      <c r="I10" s="18">
        <f>I6*Assumptions!B9</f>
        <v>679280400.7307801</v>
      </c>
      <c r="J10" s="18">
        <f>J6*Assumptions!B9</f>
        <v>697170211.8597409</v>
      </c>
      <c r="K10" s="18">
        <f>K6*Assumptions!B9</f>
        <v>714599467.1562343</v>
      </c>
    </row>
    <row r="11" spans="1:11" x14ac:dyDescent="0.25">
      <c r="A11" t="s">
        <v>54</v>
      </c>
      <c r="B11" s="18">
        <f>-B6*B19</f>
        <v>-324565745.3193543</v>
      </c>
      <c r="C11" s="18">
        <f>-C6*C19</f>
        <v>-392358773.1305923</v>
      </c>
      <c r="D11" s="18">
        <f>-D6*D19</f>
        <v>-463978119.4695305</v>
      </c>
      <c r="E11" s="18">
        <f>-E6*E19</f>
        <v>-539357566.2274262</v>
      </c>
      <c r="F11" s="18">
        <f>-F6*F19</f>
        <v>-618407935.4921594</v>
      </c>
      <c r="G11" s="18">
        <f>-G6*G19</f>
        <v>-701016624.7896453</v>
      </c>
      <c r="H11" s="18">
        <f>-H6*H19</f>
        <v>-787047308.2373923</v>
      </c>
      <c r="I11" s="18">
        <f>-I6*I19</f>
        <v>-876339813.4622058</v>
      </c>
      <c r="J11" s="18">
        <f>-J6*J19</f>
        <v>-968710182.673524</v>
      </c>
      <c r="K11" s="18">
        <f>-K6*K19</f>
        <v>-1063950924.6629812</v>
      </c>
    </row>
    <row r="12" spans="1:11" x14ac:dyDescent="0.25">
      <c r="A12" t="s">
        <v>55</v>
      </c>
      <c r="B12" s="18">
        <f>-(B6-Assumptions!B29)*Assumptions!B11</f>
        <v>18542738.255399965</v>
      </c>
      <c r="C12" s="18">
        <f>-(C6-B6)*Assumptions!B11</f>
        <v>-55238601.50095296</v>
      </c>
      <c r="D12" s="18">
        <f>-(D6-C6)*Assumptions!B11</f>
        <v>-55067980.2968154</v>
      </c>
      <c r="E12" s="18">
        <f>-(E6-D6)*Assumptions!B11</f>
        <v>-54744081.949410684</v>
      </c>
      <c r="F12" s="18">
        <f>-(F6-E6)*Assumptions!B11</f>
        <v>-54262734.38277831</v>
      </c>
      <c r="G12" s="18">
        <f>-(G6-F6)*Assumptions!B11</f>
        <v>-53620458.28457271</v>
      </c>
      <c r="H12" s="18">
        <f>-(H6-G6)*Assumptions!B11</f>
        <v>-52814515.08075844</v>
      </c>
      <c r="I12" s="18">
        <f>-(I6-H6)*Assumptions!B11</f>
        <v>-51842950.682980545</v>
      </c>
      <c r="J12" s="18">
        <f>-(J6-I6)*Assumptions!B11</f>
        <v>-50704634.448470496</v>
      </c>
      <c r="K12" s="18">
        <f>-(K6-J6)*Assumptions!B11</f>
        <v>-49399292.8235628</v>
      </c>
    </row>
    <row r="13" spans="1:11" x14ac:dyDescent="0.25">
      <c r="A13" s="19" t="s">
        <v>56</v>
      </c>
      <c r="B13" s="20">
        <f>B9+B10+B11+B12</f>
        <v>1243172746.5834386</v>
      </c>
      <c r="C13" s="20">
        <f>C9+C10+C11+C12</f>
        <v>1156891231.2385948</v>
      </c>
      <c r="D13" s="20">
        <f>D9+D10+D11+D12</f>
        <v>1140564569.552566</v>
      </c>
      <c r="E13" s="20">
        <f>E9+E10+E11+E12</f>
        <v>1120306868.1376493</v>
      </c>
      <c r="F13" s="20">
        <f>F9+F10+F11+F12</f>
        <v>1096053873.1292784</v>
      </c>
      <c r="G13" s="20">
        <f>G9+G10+G11+G12</f>
        <v>1067760579.7318038</v>
      </c>
      <c r="H13" s="20">
        <f>H9+H10+H11+H12</f>
        <v>1035402224.5560385</v>
      </c>
      <c r="I13" s="20">
        <f>I9+I10+I11+I12</f>
        <v>998975150.2103213</v>
      </c>
      <c r="J13" s="20">
        <f>J9+J10+J11+J12</f>
        <v>958497529.5215807</v>
      </c>
      <c r="K13" s="20">
        <f>K9+K10+K11+K12</f>
        <v>914009937.8231206</v>
      </c>
    </row>
    <row r="14" spans="1:11" x14ac:dyDescent="0.25">
      <c r="A14" t="s">
        <v>57</v>
      </c>
      <c r="B14" s="21">
        <f>1/(1+Assumptions!$B$26)^(1-0.5*Assumptions!$B$32)</f>
        <v>0.964282094748903</v>
      </c>
      <c r="C14" s="21">
        <f>1/(1+Assumptions!$B$26)^(2-0.5*Assumptions!$B$32)</f>
        <v>0.896628022725756</v>
      </c>
      <c r="D14" s="21">
        <f>1/(1+Assumptions!$B$26)^(3-0.5*Assumptions!$B$32)</f>
        <v>0.833720563220085</v>
      </c>
      <c r="E14" s="21">
        <f>1/(1+Assumptions!$B$26)^(4-0.5*Assumptions!$B$32)</f>
        <v>0.7752266936995087</v>
      </c>
      <c r="F14" s="21">
        <f>1/(1+Assumptions!$B$26)^(5-0.5*Assumptions!$B$32)</f>
        <v>0.7208367565064201</v>
      </c>
      <c r="G14" s="21">
        <f>1/(1+Assumptions!$B$26)^(6-0.5*Assumptions!$B$32)</f>
        <v>0.6702628195773972</v>
      </c>
      <c r="H14" s="21">
        <f>1/(1+Assumptions!$B$26)^(7-0.5*Assumptions!$B$32)</f>
        <v>0.623237152174608</v>
      </c>
      <c r="I14" s="21">
        <f>1/(1+Assumptions!$B$26)^(8-0.5*Assumptions!$B$32)</f>
        <v>0.5795108075599633</v>
      </c>
      <c r="J14" s="21">
        <f>1/(1+Assumptions!$B$26)^(9-0.5*Assumptions!$B$32)</f>
        <v>0.5388523051089112</v>
      </c>
      <c r="K14" s="21">
        <f>1/(1+Assumptions!$B$26)^(10-0.5*Assumptions!$B$32)</f>
        <v>0.501046404887182</v>
      </c>
    </row>
    <row r="15" spans="1:11" x14ac:dyDescent="0.25">
      <c r="A15" s="19" t="s">
        <v>58</v>
      </c>
      <c r="B15" s="20">
        <f>B13*B14</f>
        <v>1198769220.2102253</v>
      </c>
      <c r="C15" s="20">
        <f>C13*C14</f>
        <v>1037301097.1742266</v>
      </c>
      <c r="D15" s="20">
        <f>D13*D14</f>
        <v>950912135.3162392</v>
      </c>
      <c r="E15" s="20">
        <f>E13*E14</f>
        <v>868491789.3152013</v>
      </c>
      <c r="F15" s="20">
        <f>F13*F14</f>
        <v>790075918.8628083</v>
      </c>
      <c r="G15" s="20">
        <f>G13*G14</f>
        <v>715680216.804635</v>
      </c>
      <c r="H15" s="20">
        <f>H13*H14</f>
        <v>645301133.7875594</v>
      </c>
      <c r="I15" s="20">
        <f>I13*I14</f>
        <v>578916896.0307189</v>
      </c>
      <c r="J15" s="20">
        <f>J13*J14</f>
        <v>516488603.22390044</v>
      </c>
      <c r="K15" s="20">
        <f>K13*K14</f>
        <v>457961393.37743133</v>
      </c>
    </row>
    <row r="17" spans="1:2" x14ac:dyDescent="0.25">
      <c r="A17" s="22" t="s">
        <v>59</v>
      </c>
      <c r="B17" s="23">
        <f>SUM(B15:K15)</f>
        <v>7759898404.102946</v>
      </c>
    </row>
    <row r="19" spans="1:11" x14ac:dyDescent="0.25">
      <c r="A19" t="s">
        <v>7</v>
      </c>
      <c r="B19" s="9">
        <f>Assumptions!$B$10+($B$20-Assumptions!$B$10)*0/9</f>
        <v>0.03945397896191185</v>
      </c>
      <c r="C19" s="9">
        <f>Assumptions!$B$10+($B$20-Assumptions!$B$10)*1/9</f>
        <v>0.04605122154053908</v>
      </c>
      <c r="D19" s="9">
        <f>Assumptions!$B$10+($B$20-Assumptions!$B$10)*2/9</f>
        <v>0.052648464119166315</v>
      </c>
      <c r="E19" s="9">
        <f>Assumptions!$B$10+($B$20-Assumptions!$B$10)*3/9</f>
        <v>0.05924570669779355</v>
      </c>
      <c r="F19" s="9">
        <f>Assumptions!$B$10+($B$20-Assumptions!$B$10)*4/9</f>
        <v>0.06584294927642079</v>
      </c>
      <c r="G19" s="9">
        <f>Assumptions!$B$10+($B$20-Assumptions!$B$10)*5/9</f>
        <v>0.07244019185504802</v>
      </c>
      <c r="H19" s="9">
        <f>Assumptions!$B$10+($B$20-Assumptions!$B$10)*6/9</f>
        <v>0.07903743443367525</v>
      </c>
      <c r="I19" s="9">
        <f>Assumptions!$B$10+($B$20-Assumptions!$B$10)*7/9</f>
        <v>0.08563467701230248</v>
      </c>
      <c r="J19" s="9">
        <f>Assumptions!$B$10+($B$20-Assumptions!$B$10)*8/9</f>
        <v>0.09223191959092972</v>
      </c>
      <c r="K19" s="9">
        <f>Assumptions!$B$10+($B$20-Assumptions!$B$10)*9/9</f>
        <v>0.09882916216955695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0.09882916216955695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914009937.8231206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1312760688.1534302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0.266119682482384</v>
      </c>
    </row>
    <row r="7" spans="1:2" x14ac:dyDescent="0.25">
      <c r="A7" t="s">
        <v>66</v>
      </c>
      <c r="B7" s="18">
        <f>-MAX(B5,0)*B6</f>
        <v>-349351457.50674677</v>
      </c>
    </row>
    <row r="8" spans="1:2" x14ac:dyDescent="0.25">
      <c r="A8" t="s">
        <v>67</v>
      </c>
      <c r="B8" s="18">
        <f>IF(OR(Assumptions!$B$33=0,Assumptions!B12&lt;=0),B5,MAX(B5+B7,0))</f>
        <v>963409230.6466835</v>
      </c>
    </row>
    <row r="9" spans="1:2" x14ac:dyDescent="0.25">
      <c r="A9" t="s">
        <v>68</v>
      </c>
      <c r="B9" s="18">
        <f>B8*(1+Assumptions!B12)/(Assumptions!B26-Assumptions!B12)</f>
        <v>19572216636.26705</v>
      </c>
    </row>
    <row r="10" spans="1:2" x14ac:dyDescent="0.25">
      <c r="A10" t="s">
        <v>69</v>
      </c>
      <c r="B10" s="18">
        <f>B9/(1+Assumptions!B26)^(10-0.5*Assumptions!B32)</f>
        <v>9806588781.2747</v>
      </c>
    </row>
    <row r="11" spans="1:2" x14ac:dyDescent="0.25">
      <c r="A11" t="s">
        <v>70</v>
      </c>
      <c r="B11" s="18">
        <f>Forecast!B17+B10</f>
        <v>17566487185.377647</v>
      </c>
    </row>
    <row r="12" spans="1:2" x14ac:dyDescent="0.25">
      <c r="A12" t="s">
        <v>71</v>
      </c>
      <c r="B12" s="18">
        <f>-Assumptions!B30</f>
        <v>-4157000000</v>
      </c>
    </row>
    <row r="13" spans="1:2" x14ac:dyDescent="0.25">
      <c r="A13" t="s">
        <v>72</v>
      </c>
      <c r="B13" s="18">
        <f>B11+B12</f>
        <v>13409487185.377647</v>
      </c>
    </row>
    <row r="14" spans="1:2" x14ac:dyDescent="0.25">
      <c r="A14" s="19" t="s">
        <v>73</v>
      </c>
      <c r="B14" s="24">
        <f>B13/Assumptions!B31</f>
        <v>76.49450761767055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2354347431.931497</v>
      </c>
    </row>
    <row r="18" spans="1:2" x14ac:dyDescent="0.25">
      <c r="A18" t="s">
        <v>68</v>
      </c>
      <c r="B18" s="18">
        <f>B17*Assumptions!B13</f>
        <v>37806694251.246704</v>
      </c>
    </row>
    <row r="19" spans="1:2" x14ac:dyDescent="0.25">
      <c r="A19" t="s">
        <v>69</v>
      </c>
      <c r="B19" s="18">
        <f>B18/(1+Assumptions!B26)^(10-0.5*Assumptions!B32)</f>
        <v>18942908235.256054</v>
      </c>
    </row>
    <row r="20" spans="1:2" x14ac:dyDescent="0.25">
      <c r="A20" t="s">
        <v>70</v>
      </c>
      <c r="B20" s="18">
        <f>Forecast!B17+B19</f>
        <v>26702806639.359</v>
      </c>
    </row>
    <row r="21" spans="1:2" x14ac:dyDescent="0.25">
      <c r="A21" t="s">
        <v>71</v>
      </c>
      <c r="B21" s="18">
        <f>-Assumptions!B30</f>
        <v>-4157000000</v>
      </c>
    </row>
    <row r="22" spans="1:2" x14ac:dyDescent="0.25">
      <c r="A22" t="s">
        <v>72</v>
      </c>
      <c r="B22" s="18">
        <f>B20+B21</f>
        <v>22545806639.359</v>
      </c>
    </row>
    <row r="23" spans="1:2" x14ac:dyDescent="0.25">
      <c r="A23" s="19" t="s">
        <v>73</v>
      </c>
      <c r="B23" s="25">
        <f>B22/Assumptions!B31</f>
        <v>128.6127018788306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81.33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76.49450761767055</v>
      </c>
    </row>
    <row r="29" spans="1:2" x14ac:dyDescent="0.25">
      <c r="A29" s="19" t="s">
        <v>81</v>
      </c>
      <c r="B29" s="11">
        <f>B28/B26-1</f>
        <v>-0.059455211881586756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0.055454</v>
      </c>
      <c r="B5" s="31">
        <v>121.3453988129038</v>
      </c>
      <c r="C5" s="31">
        <v>127.06000868095757</v>
      </c>
      <c r="D5" s="31">
        <v>134.99454521553855</v>
      </c>
      <c r="E5" s="31">
        <v>146.45720752083128</v>
      </c>
      <c r="F5" s="31">
        <v>164.0353568249903</v>
      </c>
    </row>
    <row r="6" spans="1:6" x14ac:dyDescent="0.25">
      <c r="A6" s="30">
        <v>0.065454</v>
      </c>
      <c r="B6" s="31">
        <v>94.05588187998649</v>
      </c>
      <c r="C6" s="31">
        <v>95.95641811570923</v>
      </c>
      <c r="D6" s="31">
        <v>98.57097211936848</v>
      </c>
      <c r="E6" s="31">
        <v>102.20163297876962</v>
      </c>
      <c r="F6" s="31">
        <v>107.34888019861242</v>
      </c>
    </row>
    <row r="7" spans="1:6" x14ac:dyDescent="0.25">
      <c r="A7" s="30">
        <v>0.075454</v>
      </c>
      <c r="B7" s="31">
        <v>75.75856645827326</v>
      </c>
      <c r="C7" s="31">
        <v>76.009056937887</v>
      </c>
      <c r="D7" s="32">
        <v>76.49431208034848</v>
      </c>
      <c r="E7" s="31">
        <v>77.29180515407668</v>
      </c>
      <c r="F7" s="31">
        <v>78.5173113350494</v>
      </c>
    </row>
    <row r="8" spans="1:6" x14ac:dyDescent="0.25">
      <c r="A8" s="30">
        <v>0.085454</v>
      </c>
      <c r="B8" s="31">
        <v>62.626261773575685</v>
      </c>
      <c r="C8" s="31">
        <v>62.107952731840655</v>
      </c>
      <c r="D8" s="31">
        <v>61.650092471359955</v>
      </c>
      <c r="E8" s="31">
        <v>61.269032052811255</v>
      </c>
      <c r="F8" s="31">
        <v>60.987604108473</v>
      </c>
    </row>
    <row r="9" spans="1:6" x14ac:dyDescent="0.25">
      <c r="A9" s="30">
        <v>0.095454</v>
      </c>
      <c r="B9" s="31">
        <v>52.882641646881375</v>
      </c>
      <c r="C9" s="31">
        <v>52.058974708533846</v>
      </c>
      <c r="D9" s="31">
        <v>51.23530777018628</v>
      </c>
      <c r="E9" s="31">
        <v>50.41164083183874</v>
      </c>
      <c r="F9" s="31">
        <v>49.587973893491196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8325000000</v>
      </c>
      <c r="C5" s="18">
        <v>8254000000</v>
      </c>
      <c r="D5" s="18">
        <v>8197000000</v>
      </c>
      <c r="E5" s="18">
        <v>8130000000</v>
      </c>
      <c r="F5" s="6" t="s">
        <v>91</v>
      </c>
    </row>
    <row r="6" spans="1:6" x14ac:dyDescent="0.25">
      <c r="A6" t="s">
        <v>51</v>
      </c>
      <c r="B6" s="18">
        <v>632000000</v>
      </c>
      <c r="C6" s="18">
        <v>1036000000</v>
      </c>
      <c r="D6" s="18">
        <v>1636000000</v>
      </c>
      <c r="E6" s="18">
        <v>1693000000</v>
      </c>
      <c r="F6" s="6" t="s">
        <v>92</v>
      </c>
    </row>
    <row r="7" spans="1:6" x14ac:dyDescent="0.25">
      <c r="A7" t="s">
        <v>93</v>
      </c>
      <c r="B7" s="18">
        <v>489000000</v>
      </c>
      <c r="C7" s="18">
        <v>555000000</v>
      </c>
      <c r="D7" s="18">
        <v>561000000</v>
      </c>
      <c r="E7" s="18">
        <v>578000000</v>
      </c>
      <c r="F7" s="6" t="s">
        <v>94</v>
      </c>
    </row>
    <row r="8" spans="1:6" x14ac:dyDescent="0.25">
      <c r="A8" t="s">
        <v>95</v>
      </c>
      <c r="B8" s="18">
        <v>379000000</v>
      </c>
      <c r="C8" s="18">
        <v>380000000</v>
      </c>
      <c r="D8" s="18">
        <v>290000000</v>
      </c>
      <c r="E8" s="18">
        <v>251000000</v>
      </c>
      <c r="F8" s="6" t="s">
        <v>96</v>
      </c>
    </row>
    <row r="9" spans="1:6" x14ac:dyDescent="0.25">
      <c r="A9" t="s">
        <v>97</v>
      </c>
      <c r="B9" s="18">
        <v>119000000</v>
      </c>
      <c r="C9" s="18">
        <v>-160000000</v>
      </c>
      <c r="D9" s="18">
        <v>-126000000</v>
      </c>
      <c r="E9" s="18">
        <v>202000000</v>
      </c>
      <c r="F9" s="6" t="s">
        <v>98</v>
      </c>
    </row>
    <row r="10" spans="1:6" x14ac:dyDescent="0.25">
      <c r="A10" t="s">
        <v>99</v>
      </c>
      <c r="B10" s="18">
        <v>5035000000</v>
      </c>
      <c r="C10" s="18">
        <v>8010000000</v>
      </c>
      <c r="D10" s="18">
        <v>8303000000</v>
      </c>
      <c r="E10" s="18">
        <v>0</v>
      </c>
      <c r="F10" s="6" t="s">
        <v>100</v>
      </c>
    </row>
    <row r="11" spans="1:6" x14ac:dyDescent="0.25">
      <c r="A11" t="s">
        <v>101</v>
      </c>
      <c r="B11" s="18">
        <v>878000000</v>
      </c>
      <c r="C11" s="18">
        <v>762000000</v>
      </c>
      <c r="D11" s="18">
        <v>194000000</v>
      </c>
      <c r="E11" s="18">
        <v>61000000</v>
      </c>
      <c r="F11" s="6" t="s">
        <v>102</v>
      </c>
    </row>
    <row r="12" spans="1:6" x14ac:dyDescent="0.25">
      <c r="A12" t="s">
        <v>34</v>
      </c>
      <c r="B12" s="34">
        <v>175300000</v>
      </c>
      <c r="C12" s="34">
        <v>173700000</v>
      </c>
      <c r="D12" s="34">
        <v>172709175</v>
      </c>
      <c r="E12" s="34">
        <v>172700000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