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<sst xmlns="http://schemas.openxmlformats.org/spreadsheetml/2006/main" count="111" uniqueCount="99">
  <si>
    <t>Solventum Corporation (SOLV)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</si>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</sst>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0.007931997022665449</v>
      </c>
    </row>
    <row r="7" spans="1:2" x14ac:dyDescent="0.25">
      <c r="A7" t="s">
        <v>5</v>
      </c>
      <c r="B7" s="6">
        <v>0.15231427857380564</v>
      </c>
    </row>
    <row r="8" spans="1:2" x14ac:dyDescent="0.25">
      <c r="A8" t="s">
        <v>6</v>
      </c>
      <c r="B8" s="6">
        <v>0.19941313155808554</v>
      </c>
    </row>
    <row r="9" spans="1:2" x14ac:dyDescent="0.25">
      <c r="A9" t="s">
        <v>7</v>
      </c>
      <c r="B9" s="6">
        <v>0.06637831218411996</v>
      </c>
    </row>
    <row r="10" spans="1:2" x14ac:dyDescent="0.25">
      <c r="A10" t="s">
        <v>8</v>
      </c>
      <c r="B10" s="6">
        <v>0.03945397896191185</v>
      </c>
    </row>
    <row r="11" spans="1:2" x14ac:dyDescent="0.25">
      <c r="A11" t="s">
        <v>9</v>
      </c>
      <c r="B11" s="6">
        <v>-1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17.1986402426405</v>
      </c>
    </row>
    <row r="14" spans="1:3" x14ac:dyDescent="0.25">
      <c r="A14" t="s">
        <v>12</v>
      </c>
      <c r="B14" s="6">
        <v>0.09394269438020578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0.79029</v>
      </c>
      <c r="C19" s="8" t="s">
        <v>19</v>
      </c>
    </row>
    <row r="20" spans="1:2" x14ac:dyDescent="0.25">
      <c r="A20" t="s">
        <v>20</v>
      </c>
      <c r="B20" s="10">
        <f>B17+B19*B18</f>
        <v>0.09344595</v>
      </c>
    </row>
    <row r="21" spans="1:3" x14ac:dyDescent="0.25">
      <c r="A21" t="s">
        <v>21</v>
      </c>
      <c r="B21" s="6">
        <v>0.053200459946339596</v>
      </c>
      <c r="C21" s="8" t="s">
        <v>22</v>
      </c>
    </row>
    <row r="22" spans="1:2" x14ac:dyDescent="0.25">
      <c r="A22" t="s">
        <v>23</v>
      </c>
      <c r="B22" s="11">
        <v>15122675712</v>
      </c>
    </row>
    <row r="23" spans="1:2" x14ac:dyDescent="0.25">
      <c r="A23" t="s">
        <v>24</v>
      </c>
      <c r="B23" s="11">
        <v>5035000000</v>
      </c>
    </row>
    <row r="24" spans="1:2" x14ac:dyDescent="0.25">
      <c r="A24" t="s">
        <v>25</v>
      </c>
      <c r="B24" s="10">
        <f>B22/(B22+B23)</f>
        <v>0.7502192181312536</v>
      </c>
    </row>
    <row r="25" spans="1:2" x14ac:dyDescent="0.25">
      <c r="A25" t="s">
        <v>26</v>
      </c>
      <c r="B25" s="10">
        <f>1-B24</f>
        <v>0.24978078186874642</v>
      </c>
    </row>
    <row r="26" spans="1:2" x14ac:dyDescent="0.25">
      <c r="A26" t="s">
        <v>27</v>
      </c>
      <c r="B26" s="12">
        <f>B24*B20+B25*B21*(1-B8)</f>
        <v>0.0807435081048742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8325000000</v>
      </c>
      <c r="C29" s="8" t="s">
        <v>30</v>
      </c>
    </row>
    <row r="30" spans="1:2" x14ac:dyDescent="0.25">
      <c r="A30" t="s">
        <v>31</v>
      </c>
      <c r="B30" s="11">
        <v>4157000000</v>
      </c>
    </row>
    <row r="31" spans="1:2" x14ac:dyDescent="0.25">
      <c r="A31" t="s">
        <v>32</v>
      </c>
      <c r="B31" s="13">
        <v>175300000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0.007931997022665449</v>
      </c>
      <c r="C5" s="10">
        <f>Assumptions!B6</f>
        <v>0.007931997022665449</v>
      </c>
      <c r="D5" s="10">
        <f>Assumptions!B6</f>
        <v>0.007931997022665449</v>
      </c>
      <c r="E5" s="10">
        <f>Assumptions!B6</f>
        <v>0.007931997022665449</v>
      </c>
      <c r="F5" s="10">
        <f>Assumptions!B6</f>
        <v>0.007931997022665449</v>
      </c>
    </row>
    <row r="6" spans="1:6" x14ac:dyDescent="0.25">
      <c r="A6" t="s">
        <v>43</v>
      </c>
      <c r="B6" s="18">
        <f>Assumptions!B29*(1+B5)</f>
        <v>8391033875.21369</v>
      </c>
      <c r="C6" s="18">
        <f>B6*(1+C5)</f>
        <v>8457591530.928969</v>
      </c>
      <c r="D6" s="18">
        <f>C6*(1+D5)</f>
        <v>8524677121.771218</v>
      </c>
      <c r="E6" s="18">
        <f>D6*(1+E5)</f>
        <v>8592294835.320292</v>
      </c>
      <c r="F6" s="18">
        <f>E6*(1+F5)</f>
        <v>8660448892.371916</v>
      </c>
    </row>
    <row r="7" spans="1:6" x14ac:dyDescent="0.25">
      <c r="A7" t="s">
        <v>5</v>
      </c>
      <c r="B7" s="10">
        <f>Assumptions!B7</f>
        <v>0.15231427857380564</v>
      </c>
      <c r="C7" s="10">
        <f>Assumptions!B7</f>
        <v>0.15231427857380564</v>
      </c>
      <c r="D7" s="10">
        <f>Assumptions!B7</f>
        <v>0.15231427857380564</v>
      </c>
      <c r="E7" s="10">
        <f>Assumptions!B7</f>
        <v>0.15231427857380564</v>
      </c>
      <c r="F7" s="10">
        <f>Assumptions!B7</f>
        <v>0.15231427857380564</v>
      </c>
    </row>
    <row r="8" spans="1:6" x14ac:dyDescent="0.25">
      <c r="A8" t="s">
        <v>44</v>
      </c>
      <c r="B8" s="18">
        <f>B6*B7</f>
        <v>1278074271.1915379</v>
      </c>
      <c r="C8" s="18">
        <f>C6*C7</f>
        <v>1288211952.5053744</v>
      </c>
      <c r="D8" s="18">
        <f>D6*D7</f>
        <v>1298430045.877209</v>
      </c>
      <c r="E8" s="18">
        <f>E6*E7</f>
        <v>1308729189.1352463</v>
      </c>
      <c r="F8" s="18">
        <f>F6*F7</f>
        <v>1319110025.1669426</v>
      </c>
    </row>
    <row r="9" spans="1:6" x14ac:dyDescent="0.25">
      <c r="A9" t="s">
        <v>45</v>
      </c>
      <c r="B9" s="18">
        <f>B8*(1-Assumptions!B8)</f>
        <v>1023209478.4094154</v>
      </c>
      <c r="C9" s="18">
        <f>C8*(1-Assumptions!B8)</f>
        <v>1031325572.9457219</v>
      </c>
      <c r="D9" s="18">
        <f>D8*(1-Assumptions!B8)</f>
        <v>1039506044.319726</v>
      </c>
      <c r="E9" s="18">
        <f>E8*(1-Assumptions!B8)</f>
        <v>1047751403.1683127</v>
      </c>
      <c r="F9" s="18">
        <f>F8*(1-Assumptions!B8)</f>
        <v>1056062164.1787375</v>
      </c>
    </row>
    <row r="10" spans="1:6" x14ac:dyDescent="0.25">
      <c r="A10" t="s">
        <v>46</v>
      </c>
      <c r="B10" s="18">
        <f>B6*Assumptions!B9</f>
        <v>556982666.1164602</v>
      </c>
      <c r="C10" s="18">
        <f>C6*Assumptions!B9</f>
        <v>561400650.9657723</v>
      </c>
      <c r="D10" s="18">
        <f>D6*Assumptions!B9</f>
        <v>565853679.2577552</v>
      </c>
      <c r="E10" s="18">
        <f>E6*Assumptions!B9</f>
        <v>570342028.9568919</v>
      </c>
      <c r="F10" s="18">
        <f>F6*Assumptions!B9</f>
        <v>574865980.232479</v>
      </c>
    </row>
    <row r="11" spans="1:6" x14ac:dyDescent="0.25">
      <c r="A11" t="s">
        <v>47</v>
      </c>
      <c r="B11" s="18">
        <f>-B6*Assumptions!B10</f>
        <v>-331059673.98137057</v>
      </c>
      <c r="C11" s="18">
        <f>-C6*Assumptions!B10</f>
        <v>-333685638.3297154</v>
      </c>
      <c r="D11" s="18">
        <f>-D6*Assumptions!B10</f>
        <v>-336332431.8194529</v>
      </c>
      <c r="E11" s="18">
        <f>-E6*Assumptions!B10</f>
        <v>-339000219.6672706</v>
      </c>
      <c r="F11" s="18">
        <f>-F6*Assumptions!B10</f>
        <v>-341689168.4003543</v>
      </c>
    </row>
    <row r="12" spans="1:6" x14ac:dyDescent="0.25">
      <c r="A12" t="s">
        <v>48</v>
      </c>
      <c r="B12" s="18">
        <f>-(B6-Assumptions!B29)*Assumptions!B11</f>
        <v>66033875.213689804</v>
      </c>
      <c r="C12" s="18">
        <f>-(C6-B6)*Assumptions!B11</f>
        <v>66557655.71527958</v>
      </c>
      <c r="D12" s="18">
        <f>-(D6-C6)*Assumptions!B11</f>
        <v>67085590.84224892</v>
      </c>
      <c r="E12" s="18">
        <f>-(E6-D6)*Assumptions!B11</f>
        <v>67617713.54907322</v>
      </c>
      <c r="F12" s="18">
        <f>-(F6-E6)*Assumptions!B11</f>
        <v>68154057.0516243</v>
      </c>
    </row>
    <row r="13" spans="1:6" x14ac:dyDescent="0.25">
      <c r="A13" s="19" t="s">
        <v>49</v>
      </c>
      <c r="B13" s="20">
        <f>B9+B10+B11+B12</f>
        <v>1315166345.758195</v>
      </c>
      <c r="C13" s="20">
        <f>C9+C10+C11+C12</f>
        <v>1325598241.2970586</v>
      </c>
      <c r="D13" s="20">
        <f>D9+D10+D11+D12</f>
        <v>1336112882.6002774</v>
      </c>
      <c r="E13" s="20">
        <f>E9+E10+E11+E12</f>
        <v>1346710926.0070071</v>
      </c>
      <c r="F13" s="20">
        <f>F9+F10+F11+F12</f>
        <v>1357393033.0624864</v>
      </c>
    </row>
    <row r="14" spans="1:6" x14ac:dyDescent="0.25">
      <c r="A14" t="s">
        <v>50</v>
      </c>
      <c r="B14" s="21">
        <f>1/(1+Assumptions!$B$26)^(1-0.5*Assumptions!$B$32)</f>
        <v>0.9619193968812492</v>
      </c>
      <c r="C14" s="21">
        <f>1/(1+Assumptions!$B$26)^(2-0.5*Assumptions!$B$32)</f>
        <v>0.8900533657315344</v>
      </c>
      <c r="D14" s="21">
        <f>1/(1+Assumptions!$B$26)^(3-0.5*Assumptions!$B$32)</f>
        <v>0.8235565229462055</v>
      </c>
      <c r="E14" s="21">
        <f>1/(1+Assumptions!$B$26)^(4-0.5*Assumptions!$B$32)</f>
        <v>0.7620277306965683</v>
      </c>
      <c r="F14" s="21">
        <f>1/(1+Assumptions!$B$26)^(5-0.5*Assumptions!$B$32)</f>
        <v>0.7050958205918938</v>
      </c>
    </row>
    <row r="15" spans="1:6" x14ac:dyDescent="0.25">
      <c r="A15" s="19" t="s">
        <v>51</v>
      </c>
      <c r="B15" s="20">
        <f>B13*B14</f>
        <v>1265084018.1102393</v>
      </c>
      <c r="C15" s="20">
        <f>C13*C14</f>
        <v>1179853176.2742496</v>
      </c>
      <c r="D15" s="20">
        <f>D13*D14</f>
        <v>1100364479.857916</v>
      </c>
      <c r="E15" s="20">
        <f>E13*E14</f>
        <v>1026231070.8493937</v>
      </c>
      <c r="F15" s="20">
        <f>F13*F14</f>
        <v>957092154.5129135</v>
      </c>
    </row>
    <row r="17" spans="1:2" x14ac:dyDescent="0.25">
      <c r="A17" s="22" t="s">
        <v>52</v>
      </c>
      <c r="B17" s="23">
        <f>SUM(B15:F15)</f>
        <v>5528624899.6047125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1357393033.0624864</v>
      </c>
    </row>
    <row r="5" spans="1:2" x14ac:dyDescent="0.25">
      <c r="A5" t="s">
        <v>56</v>
      </c>
      <c r="B5" s="18">
        <f>IF(Assumptions!$B$33=0,B4,B4-Forecast!F11-Forecast!F10-Forecast!F12)</f>
        <v>1056062164.1787375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0.266119682482384</v>
      </c>
    </row>
    <row r="7" spans="1:2" x14ac:dyDescent="0.25">
      <c r="A7" t="s">
        <v>58</v>
      </c>
      <c r="B7" s="18">
        <f>-MAX(Forecast!F9,0)*B6</f>
        <v>-281038927.8129049</v>
      </c>
    </row>
    <row r="8" spans="1:2" x14ac:dyDescent="0.25">
      <c r="A8" t="s">
        <v>59</v>
      </c>
      <c r="B8" s="18">
        <f>IF(OR(Assumptions!$B$33=0,Assumptions!B12&lt;=0),B5,MAX(B5+B7,0))</f>
        <v>775023236.3658326</v>
      </c>
    </row>
    <row r="9" spans="1:2" x14ac:dyDescent="0.25">
      <c r="A9" t="s">
        <v>60</v>
      </c>
      <c r="B9" s="18">
        <f>B8*(1+Assumptions!B12)/(Assumptions!B26-Assumptions!B12)</f>
        <v>14250965615.232176</v>
      </c>
    </row>
    <row r="10" spans="1:2" x14ac:dyDescent="0.25">
      <c r="A10" t="s">
        <v>61</v>
      </c>
      <c r="B10" s="18">
        <f>B9/(1+Assumptions!B26)^(5-0.5*Assumptions!B32)</f>
        <v>10048296294.698994</v>
      </c>
    </row>
    <row r="11" spans="1:2" x14ac:dyDescent="0.25">
      <c r="A11" t="s">
        <v>62</v>
      </c>
      <c r="B11" s="18">
        <f>Forecast!B17+B10</f>
        <v>15576921194.303707</v>
      </c>
    </row>
    <row r="12" spans="1:2" x14ac:dyDescent="0.25">
      <c r="A12" t="s">
        <v>63</v>
      </c>
      <c r="B12" s="18">
        <f>-Assumptions!B30</f>
        <v>-4157000000</v>
      </c>
    </row>
    <row r="13" spans="1:2" x14ac:dyDescent="0.25">
      <c r="A13" t="s">
        <v>64</v>
      </c>
      <c r="B13" s="18">
        <f>B11+B12</f>
        <v>11419921194.303707</v>
      </c>
    </row>
    <row r="14" spans="1:2" x14ac:dyDescent="0.25">
      <c r="A14" s="19" t="s">
        <v>65</v>
      </c>
      <c r="B14" s="24">
        <f>B13/Assumptions!B31</f>
        <v>65.14501536967317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1893976005.3994217</v>
      </c>
    </row>
    <row r="18" spans="1:2" x14ac:dyDescent="0.25">
      <c r="A18" t="s">
        <v>60</v>
      </c>
      <c r="B18" s="18">
        <f>B17*Assumptions!B13</f>
        <v>32573811945.057995</v>
      </c>
    </row>
    <row r="19" spans="1:2" x14ac:dyDescent="0.25">
      <c r="A19" t="s">
        <v>61</v>
      </c>
      <c r="B19" s="18">
        <f>B18/(1+Assumptions!B26)^(5-0.5*Assumptions!B32)</f>
        <v>22967658663.2067</v>
      </c>
    </row>
    <row r="20" spans="1:2" x14ac:dyDescent="0.25">
      <c r="A20" t="s">
        <v>62</v>
      </c>
      <c r="B20" s="18">
        <f>Forecast!B17+B19</f>
        <v>28496283562.811413</v>
      </c>
    </row>
    <row r="21" spans="1:2" x14ac:dyDescent="0.25">
      <c r="A21" t="s">
        <v>63</v>
      </c>
      <c r="B21" s="18">
        <f>-Assumptions!B30</f>
        <v>-4157000000</v>
      </c>
    </row>
    <row r="22" spans="1:2" x14ac:dyDescent="0.25">
      <c r="A22" t="s">
        <v>64</v>
      </c>
      <c r="B22" s="18">
        <f>B20+B21</f>
        <v>24339283562.811413</v>
      </c>
    </row>
    <row r="23" spans="1:2" x14ac:dyDescent="0.25">
      <c r="A23" s="19" t="s">
        <v>65</v>
      </c>
      <c r="B23" s="25">
        <f>B22/Assumptions!B31</f>
        <v>138.84360275420087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88.84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65.14501536967317</v>
      </c>
    </row>
    <row r="29" spans="1:2" x14ac:dyDescent="0.25">
      <c r="A29" s="19" t="s">
        <v>73</v>
      </c>
      <c r="B29" s="12">
        <f>B28/B26-1</f>
        <v>-0.26671527048994625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0.060744</v>
      </c>
      <c r="B5" s="31">
        <v>95.40484711752362</v>
      </c>
      <c r="C5" s="31">
        <v>100.29698202900362</v>
      </c>
      <c r="D5" s="31">
        <v>106.48897989748149</v>
      </c>
      <c r="E5" s="31">
        <v>114.61504396114898</v>
      </c>
      <c r="F5" s="31">
        <v>125.80207730141703</v>
      </c>
    </row>
    <row r="6" spans="1:6" x14ac:dyDescent="0.25">
      <c r="A6" s="30">
        <v>0.070744</v>
      </c>
      <c r="B6" s="31">
        <v>76.29719404771033</v>
      </c>
      <c r="C6" s="31">
        <v>78.6030517099569</v>
      </c>
      <c r="D6" s="31">
        <v>81.36145394870294</v>
      </c>
      <c r="E6" s="31">
        <v>84.73900612050397</v>
      </c>
      <c r="F6" s="31">
        <v>88.99553502134873</v>
      </c>
    </row>
    <row r="7" spans="1:6" x14ac:dyDescent="0.25">
      <c r="A7" s="30">
        <v>0.080744</v>
      </c>
      <c r="B7" s="31">
        <v>62.93228497519191</v>
      </c>
      <c r="C7" s="31">
        <v>63.96589004127183</v>
      </c>
      <c r="D7" s="32">
        <v>65.14435827468706</v>
      </c>
      <c r="E7" s="31">
        <v>66.51051143781409</v>
      </c>
      <c r="F7" s="31">
        <v>68.12589364454048</v>
      </c>
    </row>
    <row r="8" spans="1:6" x14ac:dyDescent="0.25">
      <c r="A8" s="30">
        <v>0.090744</v>
      </c>
      <c r="B8" s="31">
        <v>53.03902645913269</v>
      </c>
      <c r="C8" s="31">
        <v>53.3971551767684</v>
      </c>
      <c r="D8" s="31">
        <v>53.776765335862265</v>
      </c>
      <c r="E8" s="31">
        <v>54.18316151994308</v>
      </c>
      <c r="F8" s="31">
        <v>54.62355150697446</v>
      </c>
    </row>
    <row r="9" spans="1:6" x14ac:dyDescent="0.25">
      <c r="A9" s="30">
        <v>0.100744</v>
      </c>
      <c r="B9" s="31">
        <v>45.904693999753086</v>
      </c>
      <c r="C9" s="31">
        <v>46.098813833340124</v>
      </c>
      <c r="D9" s="31">
        <v>46.292933666927134</v>
      </c>
      <c r="E9" s="31">
        <v>46.487053500514165</v>
      </c>
      <c r="F9" s="31">
        <v>46.68117333410118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8325000000</v>
      </c>
      <c r="C5" s="18">
        <v>8254000000</v>
      </c>
      <c r="D5" s="18">
        <v>8197000000</v>
      </c>
      <c r="E5" s="18">
        <v>8130000000</v>
      </c>
      <c r="F5" s="8" t="s">
        <v>84</v>
      </c>
    </row>
    <row r="6" spans="1:6" x14ac:dyDescent="0.25">
      <c r="A6" t="s">
        <v>44</v>
      </c>
      <c r="B6" s="18">
        <v>632000000</v>
      </c>
      <c r="C6" s="18">
        <v>1036000000</v>
      </c>
      <c r="D6" s="18">
        <v>1636000000</v>
      </c>
      <c r="E6" s="18">
        <v>1693000000</v>
      </c>
      <c r="F6" s="8" t="s">
        <v>85</v>
      </c>
    </row>
    <row r="7" spans="1:6" x14ac:dyDescent="0.25">
      <c r="A7" t="s">
        <v>86</v>
      </c>
      <c r="B7" s="18">
        <v>489000000</v>
      </c>
      <c r="C7" s="18">
        <v>555000000</v>
      </c>
      <c r="D7" s="18">
        <v>561000000</v>
      </c>
      <c r="E7" s="18">
        <v>578000000</v>
      </c>
      <c r="F7" s="8" t="s">
        <v>87</v>
      </c>
    </row>
    <row r="8" spans="1:6" x14ac:dyDescent="0.25">
      <c r="A8" t="s">
        <v>88</v>
      </c>
      <c r="B8" s="18">
        <v>379000000</v>
      </c>
      <c r="C8" s="18">
        <v>380000000</v>
      </c>
      <c r="D8" s="18">
        <v>290000000</v>
      </c>
      <c r="E8" s="18">
        <v>251000000</v>
      </c>
      <c r="F8" s="8" t="s">
        <v>89</v>
      </c>
    </row>
    <row r="9" spans="1:6" x14ac:dyDescent="0.25">
      <c r="A9" t="s">
        <v>90</v>
      </c>
      <c r="B9" s="18">
        <v>119000000</v>
      </c>
      <c r="C9" s="18">
        <v>-160000000</v>
      </c>
      <c r="D9" s="18">
        <v>-126000000</v>
      </c>
      <c r="E9" s="18">
        <v>202000000</v>
      </c>
      <c r="F9" s="8" t="s">
        <v>91</v>
      </c>
    </row>
    <row r="10" spans="1:6" x14ac:dyDescent="0.25">
      <c r="A10" t="s">
        <v>92</v>
      </c>
      <c r="B10" s="18">
        <v>5035000000</v>
      </c>
      <c r="C10" s="18">
        <v>8010000000</v>
      </c>
      <c r="D10" s="18">
        <v>8303000000</v>
      </c>
      <c r="E10" s="18">
        <v>0</v>
      </c>
      <c r="F10" s="8" t="s">
        <v>93</v>
      </c>
    </row>
    <row r="11" spans="1:6" x14ac:dyDescent="0.25">
      <c r="A11" t="s">
        <v>94</v>
      </c>
      <c r="B11" s="18">
        <v>878000000</v>
      </c>
      <c r="C11" s="18">
        <v>762000000</v>
      </c>
      <c r="D11" s="18">
        <v>194000000</v>
      </c>
      <c r="E11" s="18">
        <v>61000000</v>
      </c>
      <c r="F11" s="8" t="s">
        <v>95</v>
      </c>
    </row>
    <row r="12" spans="1:6" x14ac:dyDescent="0.25">
      <c r="A12" t="s">
        <v>32</v>
      </c>
      <c r="B12" s="34">
        <v>175300000</v>
      </c>
      <c r="C12" s="34">
        <v>173700000</v>
      </c>
      <c r="D12" s="34">
        <v>172709175</v>
      </c>
      <c r="E12" s="34">
        <v>172700000</v>
      </c>
      <c r="F12" s="8" t="s">
        <v>96</v>
      </c>
    </row>
    <row r="15" spans="1:1" x14ac:dyDescent="0.25">
      <c r="A15" s="19" t="s">
        <v>97</v>
      </c>
    </row>
    <row r="17" spans="1:1" x14ac:dyDescent="0.25">
      <c r="A17" s="35" t="s">
        <v>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2026-09-19T01:05:21Z</dcterms:modified>
</cp:coreProperties>
</file>