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<sst xmlns="http://schemas.openxmlformats.org/spreadsheetml/2006/main" count="112" uniqueCount="100">
  <si>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Simon Property Group, Inc. (SPG)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</si>
  <si>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</si>
  <si>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</si>
  <si>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</si>
  <si>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</si>
  <si>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</si>
  <si>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</si>
  <si>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</si>
  <si>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</si>
  <si>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</si>
  <si>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</si>
  <si>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</si>
  <si>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</si>
  <si>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</si>
  <si>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</si>
  <si>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</si>
  <si>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</si>
  <si>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</si>
  <si>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</si>
  <si>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</si>
  <si>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</si>
  <si>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</si>
  <si>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</si>
  <si>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</si>
  <si>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</si>
  <si>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</si>
  <si>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</si>
  <si>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</si>
  <si>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</si>
  <si>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</si>
  <si>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</si>
  <si>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</si>
  <si>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</si>
  <si>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</si>
  <si>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</si>
  <si>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</si>
  <si>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</si>
  <si>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</si>
  <si>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</si>
  <si>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</si>
  <si>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</si>
  <si>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</si>
  <si>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</si>
  <si>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</si>
  <si>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</si>
  <si>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</si>
  <si>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</si>
  <si>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</si>
  <si>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</si>
  <si>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</si>
  <si>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</si>
  <si>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</si>
  <si>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</si>
  <si>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</si>
  <si>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</si>
  <si>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</si>
  <si>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</si>
  <si>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</si>
  <si>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</si>
  <si>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</si>
  <si>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</si>
  <si>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</si>
  <si>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</si>
  <si>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</si>
  <si>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</si>
  <si>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</si>
  <si>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</si>
  <si>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</si>
  <si>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</si>
  <si>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</si>
  <si>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</si>
  <si>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</si>
  <si>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</si>
  <si>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</si>
  <si>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</si>
  <si>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</si>
  <si>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</si>
  <si>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</si>
  <si>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</si>
  <si>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</si>
  <si>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</si>
  <si>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</si>
  <si>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</si>
  <si>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</si>
  <si>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</si>
  <si>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</si>
  <si>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</si>
  <si>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</si>
  <si>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</si>
  <si>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</si>
  <si>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</si>
  <si>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</si>
  <si>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</si>
  <si>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</si>
  <si>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</si>
  <si>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</si>
  <si>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</si>
  <si>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</si>
  <si>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22.5x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</si>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</sst>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0.0634817964117913</v>
      </c>
    </row>
    <row r="7" spans="1:2" x14ac:dyDescent="0.25">
      <c r="A7" t="s">
        <v>5</v>
      </c>
      <c r="B7" s="6">
        <v>0.500452694645315</v>
      </c>
    </row>
    <row r="8" spans="1:2" x14ac:dyDescent="0.25">
      <c r="A8" t="s">
        <v>6</v>
      </c>
      <c r="B8" s="6">
        <v>0.019394022622694174</v>
      </c>
    </row>
    <row r="9" spans="1:2" x14ac:dyDescent="0.25">
      <c r="A9" t="s">
        <v>7</v>
      </c>
      <c r="B9" s="6">
        <v>0.23802332797877435</v>
      </c>
    </row>
    <row r="10" spans="1:2" x14ac:dyDescent="0.25">
      <c r="A10" t="s">
        <v>8</v>
      </c>
      <c r="B10" s="6">
        <v>0.13413249522200357</v>
      </c>
    </row>
    <row r="11" spans="1:2" x14ac:dyDescent="0.25">
      <c r="A11" t="s">
        <v>9</v>
      </c>
      <c r="B11" s="6">
        <v>0.0016945049624788188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0.09809666048930768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1.20904</v>
      </c>
      <c r="C19" s="8" t="s">
        <v>19</v>
      </c>
    </row>
    <row r="20" spans="1:2" x14ac:dyDescent="0.25">
      <c r="A20" t="s">
        <v>20</v>
      </c>
      <c r="B20" s="10">
        <f>B17+B19*B18</f>
        <v>0.1164772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77944299520</v>
      </c>
    </row>
    <row r="23" spans="1:2" x14ac:dyDescent="0.25">
      <c r="A23" t="s">
        <v>24</v>
      </c>
      <c r="B23" s="11">
        <v>29186714000</v>
      </c>
    </row>
    <row r="24" spans="1:2" x14ac:dyDescent="0.25">
      <c r="A24" t="s">
        <v>25</v>
      </c>
      <c r="B24" s="10">
        <f>B22/(B22+B23)</f>
        <v>0.7275605537461735</v>
      </c>
    </row>
    <row r="25" spans="1:2" x14ac:dyDescent="0.25">
      <c r="A25" t="s">
        <v>26</v>
      </c>
      <c r="B25" s="10">
        <f>1-B24</f>
        <v>0.27243944625382654</v>
      </c>
    </row>
    <row r="26" spans="1:2" x14ac:dyDescent="0.25">
      <c r="A26" t="s">
        <v>27</v>
      </c>
      <c r="B26" s="12">
        <f>B24*B20+B25*B21*(1-B8)</f>
        <v>0.09809666048930768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6364505000</v>
      </c>
      <c r="C29" s="8" t="s">
        <v>30</v>
      </c>
    </row>
    <row r="30" spans="1:2" x14ac:dyDescent="0.25">
      <c r="A30" t="s">
        <v>31</v>
      </c>
      <c r="B30" s="11">
        <v>28363567000</v>
      </c>
    </row>
    <row r="31" spans="1:2" x14ac:dyDescent="0.25">
      <c r="A31" t="s">
        <v>32</v>
      </c>
      <c r="B31" s="13">
        <v>326367000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0.0634817964117913</v>
      </c>
      <c r="C5" s="10">
        <f>Assumptions!B6</f>
        <v>0.0634817964117913</v>
      </c>
      <c r="D5" s="10">
        <f>Assumptions!B6</f>
        <v>0.0634817964117913</v>
      </c>
      <c r="E5" s="10">
        <f>Assumptions!B6</f>
        <v>0.0634817964117913</v>
      </c>
      <c r="F5" s="10">
        <f>Assumptions!B6</f>
        <v>0.0634817964117913</v>
      </c>
    </row>
    <row r="6" spans="1:6" x14ac:dyDescent="0.25">
      <c r="A6" t="s">
        <v>43</v>
      </c>
      <c r="B6" s="18">
        <f>Assumptions!B29*(1+B5)</f>
        <v>6768535210.671828</v>
      </c>
      <c r="C6" s="18">
        <f>B6*(1+C5)</f>
        <v>7198213984.921739</v>
      </c>
      <c r="D6" s="18">
        <f>C6*(1+D5)</f>
        <v>7655169539.641049</v>
      </c>
      <c r="E6" s="18">
        <f>D6*(1+E5)</f>
        <v>8141133453.854289</v>
      </c>
      <c r="F6" s="18">
        <f>E6*(1+F5)</f>
        <v>8657947230.33309</v>
      </c>
    </row>
    <row r="7" spans="1:6" x14ac:dyDescent="0.25">
      <c r="A7" t="s">
        <v>5</v>
      </c>
      <c r="B7" s="10">
        <f>Assumptions!B7</f>
        <v>0.500452694645315</v>
      </c>
      <c r="C7" s="10">
        <f>Assumptions!B7</f>
        <v>0.500452694645315</v>
      </c>
      <c r="D7" s="10">
        <f>Assumptions!B7</f>
        <v>0.500452694645315</v>
      </c>
      <c r="E7" s="10">
        <f>Assumptions!B7</f>
        <v>0.500452694645315</v>
      </c>
      <c r="F7" s="10">
        <f>Assumptions!B7</f>
        <v>0.500452694645315</v>
      </c>
    </row>
    <row r="8" spans="1:6" x14ac:dyDescent="0.25">
      <c r="A8" t="s">
        <v>44</v>
      </c>
      <c r="B8" s="18">
        <f>B6*B7</f>
        <v>3387331684.982412</v>
      </c>
      <c r="C8" s="18">
        <f>C6*C7</f>
        <v>3602365585.3876753</v>
      </c>
      <c r="D8" s="18">
        <f>D6*D7</f>
        <v>3831050224.080099</v>
      </c>
      <c r="E8" s="18">
        <f>E6*E7</f>
        <v>4074252174.4484997</v>
      </c>
      <c r="F8" s="18">
        <f>F6*F7</f>
        <v>4332893021.517137</v>
      </c>
    </row>
    <row r="9" spans="1:6" x14ac:dyDescent="0.25">
      <c r="A9" t="s">
        <v>45</v>
      </c>
      <c r="B9" s="18">
        <f>B8*(1-Assumptions!B8)</f>
        <v>3321637697.653294</v>
      </c>
      <c r="C9" s="18">
        <f>C8*(1-Assumptions!B8)</f>
        <v>3532501225.7294517</v>
      </c>
      <c r="D9" s="18">
        <f>D8*(1-Assumptions!B8)</f>
        <v>3756750749.365612</v>
      </c>
      <c r="E9" s="18">
        <f>E8*(1-Assumptions!B8)</f>
        <v>3995236035.6066847</v>
      </c>
      <c r="F9" s="18">
        <f>F8*(1-Assumptions!B8)</f>
        <v>4248860796.2361193</v>
      </c>
    </row>
    <row r="10" spans="1:6" x14ac:dyDescent="0.25">
      <c r="A10" t="s">
        <v>46</v>
      </c>
      <c r="B10" s="18">
        <f>B6*Assumptions!B9</f>
        <v>1611069276.385623</v>
      </c>
      <c r="C10" s="18">
        <f>C6*Assumptions!B9</f>
        <v>1713342848.1944273</v>
      </c>
      <c r="D10" s="18">
        <f>D6*Assumptions!B9</f>
        <v>1822108930.0671046</v>
      </c>
      <c r="E10" s="18">
        <f>E6*Assumptions!B9</f>
        <v>1937779678.2057314</v>
      </c>
      <c r="F10" s="18">
        <f>F6*Assumptions!B9</f>
        <v>2060793413.228494</v>
      </c>
    </row>
    <row r="11" spans="1:6" x14ac:dyDescent="0.25">
      <c r="A11" t="s">
        <v>47</v>
      </c>
      <c r="B11" s="18">
        <f>-B6*Assumptions!B10</f>
        <v>-907880516.8054019</v>
      </c>
      <c r="C11" s="18">
        <f>-C6*Assumptions!B10</f>
        <v>-965514402.9394743</v>
      </c>
      <c r="D11" s="18">
        <f>-D6*Assumptions!B10</f>
        <v>-1026806991.6995304</v>
      </c>
      <c r="E11" s="18">
        <f>-E6*Assumptions!B10</f>
        <v>-1091990544.1008039</v>
      </c>
      <c r="F11" s="18">
        <f>-F6*Assumptions!B10</f>
        <v>-1161312065.5050123</v>
      </c>
    </row>
    <row r="12" spans="1:6" x14ac:dyDescent="0.25">
      <c r="A12" t="s">
        <v>48</v>
      </c>
      <c r="B12" s="18">
        <f>-(B6-Assumptions!B29)*Assumptions!B11</f>
        <v>-684631.1969747756</v>
      </c>
      <c r="C12" s="18">
        <f>-(C6-B6)*Assumptions!B11</f>
        <v>-728092.8152382892</v>
      </c>
      <c r="D12" s="18">
        <f>-(D6-C6)*Assumptions!B11</f>
        <v>-774313.4551041335</v>
      </c>
      <c r="E12" s="18">
        <f>-(E6-D6)*Assumptions!B11</f>
        <v>-823468.2642199656</v>
      </c>
      <c r="F12" s="18">
        <f>-(F6-E6)*Assumptions!B11</f>
        <v>-875743.508920747</v>
      </c>
    </row>
    <row r="13" spans="1:6" x14ac:dyDescent="0.25">
      <c r="A13" s="19" t="s">
        <v>49</v>
      </c>
      <c r="B13" s="20">
        <f>B9+B10+B11+B12</f>
        <v>4024141826.036541</v>
      </c>
      <c r="C13" s="20">
        <f>C9+C10+C11+C12</f>
        <v>4279601578.169166</v>
      </c>
      <c r="D13" s="20">
        <f>D9+D10+D11+D12</f>
        <v>4551278374.278082</v>
      </c>
      <c r="E13" s="20">
        <f>E9+E10+E11+E12</f>
        <v>4840201701.447392</v>
      </c>
      <c r="F13" s="20">
        <f>F9+F10+F11+F12</f>
        <v>5147466400.45068</v>
      </c>
    </row>
    <row r="14" spans="1:6" x14ac:dyDescent="0.25">
      <c r="A14" t="s">
        <v>50</v>
      </c>
      <c r="B14" s="21">
        <f>1/(1+Assumptions!$B$26)^(1-0.5*Assumptions!$B$32)</f>
        <v>0.954288553561125</v>
      </c>
      <c r="C14" s="21">
        <f>1/(1+Assumptions!$B$26)^(2-0.5*Assumptions!$B$32)</f>
        <v>0.8690387539616938</v>
      </c>
      <c r="D14" s="21">
        <f>1/(1+Assumptions!$B$26)^(3-0.5*Assumptions!$B$32)</f>
        <v>0.7914046051050311</v>
      </c>
      <c r="E14" s="21">
        <f>1/(1+Assumptions!$B$26)^(4-0.5*Assumptions!$B$32)</f>
        <v>0.7207057753480319</v>
      </c>
      <c r="F14" s="21">
        <f>1/(1+Assumptions!$B$26)^(5-0.5*Assumptions!$B$32)</f>
        <v>0.6563227093568322</v>
      </c>
    </row>
    <row r="15" spans="1:6" x14ac:dyDescent="0.25">
      <c r="A15" s="19" t="s">
        <v>51</v>
      </c>
      <c r="B15" s="20">
        <f>B13*B14</f>
        <v>3840192482.4932346</v>
      </c>
      <c r="C15" s="20">
        <f>C13*C14</f>
        <v>3719139622.9446306</v>
      </c>
      <c r="D15" s="20">
        <f>D13*D14</f>
        <v>3601902664.5186133</v>
      </c>
      <c r="E15" s="20">
        <f>E13*E14</f>
        <v>3488361320.082506</v>
      </c>
      <c r="F15" s="20">
        <f>F13*F14</f>
        <v>3378399094.2670507</v>
      </c>
    </row>
    <row r="17" spans="1:2" x14ac:dyDescent="0.25">
      <c r="A17" s="22" t="s">
        <v>52</v>
      </c>
      <c r="B17" s="23">
        <f>SUM(B15:F15)</f>
        <v>18027995184.306034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5147466400.45068</v>
      </c>
    </row>
    <row r="5" spans="1:2" x14ac:dyDescent="0.25">
      <c r="A5" t="s">
        <v>56</v>
      </c>
      <c r="B5" s="18">
        <f>IF(Assumptions!$B$33=0,B4,B4-Forecast!F11-Forecast!F10-Forecast!F12)</f>
        <v>4248860796.2361193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0.2548506735631938</v>
      </c>
    </row>
    <row r="7" spans="1:2" x14ac:dyDescent="0.25">
      <c r="A7" t="s">
        <v>58</v>
      </c>
      <c r="B7" s="18">
        <f>-MAX(Forecast!F9,0)*B6</f>
        <v>-1082825035.7970228</v>
      </c>
    </row>
    <row r="8" spans="1:2" x14ac:dyDescent="0.25">
      <c r="A8" t="s">
        <v>59</v>
      </c>
      <c r="B8" s="18">
        <f>IF(OR(Assumptions!$B$33=0,Assumptions!B12&lt;=0),B5,MAX(B5+B7,0))</f>
        <v>3166035760.4390965</v>
      </c>
    </row>
    <row r="9" spans="1:2" x14ac:dyDescent="0.25">
      <c r="A9" t="s">
        <v>60</v>
      </c>
      <c r="B9" s="18">
        <f>B8*(1+Assumptions!B12)/(Assumptions!B26-Assumptions!B12)</f>
        <v>44395826467.67793</v>
      </c>
    </row>
    <row r="10" spans="1:2" x14ac:dyDescent="0.25">
      <c r="A10" t="s">
        <v>61</v>
      </c>
      <c r="B10" s="18">
        <f>B9/(1+Assumptions!B26)^(5-0.5*Assumptions!B32)</f>
        <v>29137989111.402145</v>
      </c>
    </row>
    <row r="11" spans="1:2" x14ac:dyDescent="0.25">
      <c r="A11" t="s">
        <v>62</v>
      </c>
      <c r="B11" s="18">
        <f>Forecast!B17+B10</f>
        <v>47165984295.708176</v>
      </c>
    </row>
    <row r="12" spans="1:2" x14ac:dyDescent="0.25">
      <c r="A12" t="s">
        <v>63</v>
      </c>
      <c r="B12" s="18">
        <f>-Assumptions!B30</f>
        <v>-28363567000</v>
      </c>
    </row>
    <row r="13" spans="1:2" x14ac:dyDescent="0.25">
      <c r="A13" t="s">
        <v>64</v>
      </c>
      <c r="B13" s="18">
        <f>B11+B12</f>
        <v>18802417295.708176</v>
      </c>
    </row>
    <row r="14" spans="1:2" x14ac:dyDescent="0.25">
      <c r="A14" s="19" t="s">
        <v>65</v>
      </c>
      <c r="B14" s="24">
        <f>B13/Assumptions!B31</f>
        <v>57.61126981498796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6393686434.74563</v>
      </c>
    </row>
    <row r="18" spans="1:2" x14ac:dyDescent="0.25">
      <c r="A18" t="s">
        <v>60</v>
      </c>
      <c r="B18" s="18">
        <f>B17*Assumptions!B13</f>
        <v>127873728694.9126</v>
      </c>
    </row>
    <row r="19" spans="1:2" x14ac:dyDescent="0.25">
      <c r="A19" t="s">
        <v>61</v>
      </c>
      <c r="B19" s="18">
        <f>B18/(1+Assumptions!B26)^(5-0.5*Assumptions!B32)</f>
        <v>83926432072.60555</v>
      </c>
    </row>
    <row r="20" spans="1:2" x14ac:dyDescent="0.25">
      <c r="A20" t="s">
        <v>62</v>
      </c>
      <c r="B20" s="18">
        <f>Forecast!B17+B19</f>
        <v>101954427256.91158</v>
      </c>
    </row>
    <row r="21" spans="1:2" x14ac:dyDescent="0.25">
      <c r="A21" t="s">
        <v>63</v>
      </c>
      <c r="B21" s="18">
        <f>-Assumptions!B30</f>
        <v>-28363567000</v>
      </c>
    </row>
    <row r="22" spans="1:2" x14ac:dyDescent="0.25">
      <c r="A22" t="s">
        <v>64</v>
      </c>
      <c r="B22" s="18">
        <f>B20+B21</f>
        <v>73590860256.91158</v>
      </c>
    </row>
    <row r="23" spans="1:2" x14ac:dyDescent="0.25">
      <c r="A23" s="19" t="s">
        <v>65</v>
      </c>
      <c r="B23" s="25">
        <f>B22/Assumptions!B31</f>
        <v>225.4849916104005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205.32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57.61126981498796</v>
      </c>
    </row>
    <row r="29" spans="1:2" x14ac:dyDescent="0.25">
      <c r="A29" s="19" t="s">
        <v>73</v>
      </c>
      <c r="B29" s="12">
        <f>B28/B26-1</f>
        <v>-0.7194074137201054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0.078097</v>
      </c>
      <c r="B5" s="31">
        <v>96.29929721920834</v>
      </c>
      <c r="C5" s="31">
        <v>99.0756961706822</v>
      </c>
      <c r="D5" s="31">
        <v>102.2817841535668</v>
      </c>
      <c r="E5" s="31">
        <v>106.05156818433217</v>
      </c>
      <c r="F5" s="31">
        <v>110.58124383849903</v>
      </c>
    </row>
    <row r="6" spans="1:6" x14ac:dyDescent="0.25">
      <c r="A6" s="30">
        <v>0.088097</v>
      </c>
      <c r="B6" s="31">
        <v>73.43605466183318</v>
      </c>
      <c r="C6" s="31">
        <v>74.49980339620001</v>
      </c>
      <c r="D6" s="31">
        <v>75.65690197289707</v>
      </c>
      <c r="E6" s="31">
        <v>76.93145228419007</v>
      </c>
      <c r="F6" s="31">
        <v>78.35663466077446</v>
      </c>
    </row>
    <row r="7" spans="1:6" x14ac:dyDescent="0.25">
      <c r="A7" s="30">
        <v>0.098097</v>
      </c>
      <c r="B7" s="31">
        <v>56.73977653098049</v>
      </c>
      <c r="C7" s="31">
        <v>57.1752857661813</v>
      </c>
      <c r="D7" s="32">
        <v>57.6107950013821</v>
      </c>
      <c r="E7" s="31">
        <v>58.046304236582905</v>
      </c>
      <c r="F7" s="31">
        <v>58.48181347178373</v>
      </c>
    </row>
    <row r="8" spans="1:6" x14ac:dyDescent="0.25">
      <c r="A8" s="30">
        <v>0.108097</v>
      </c>
      <c r="B8" s="31">
        <v>44.15205486940965</v>
      </c>
      <c r="C8" s="31">
        <v>44.53147696686074</v>
      </c>
      <c r="D8" s="31">
        <v>44.91089906431171</v>
      </c>
      <c r="E8" s="31">
        <v>45.29032116176276</v>
      </c>
      <c r="F8" s="31">
        <v>45.66974325921375</v>
      </c>
    </row>
    <row r="9" spans="1:6" x14ac:dyDescent="0.25">
      <c r="A9" s="30">
        <v>0.118097</v>
      </c>
      <c r="B9" s="31">
        <v>33.67984094669208</v>
      </c>
      <c r="C9" s="31">
        <v>34.013374655136</v>
      </c>
      <c r="D9" s="31">
        <v>34.346908363579935</v>
      </c>
      <c r="E9" s="31">
        <v>34.68044207202387</v>
      </c>
      <c r="F9" s="31">
        <v>35.01397578046781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6364505000</v>
      </c>
      <c r="C5" s="18">
        <v>5963798000</v>
      </c>
      <c r="D5" s="18">
        <v>5658836000</v>
      </c>
      <c r="E5" s="18">
        <v>5291447000</v>
      </c>
      <c r="F5" s="8" t="s">
        <v>84</v>
      </c>
    </row>
    <row r="6" spans="1:6" x14ac:dyDescent="0.25">
      <c r="A6" t="s">
        <v>44</v>
      </c>
      <c r="B6" s="18">
        <v>3175396000</v>
      </c>
      <c r="C6" s="18">
        <v>3092796000</v>
      </c>
      <c r="D6" s="18">
        <v>2807022000</v>
      </c>
      <c r="E6" s="18">
        <v>2583553000</v>
      </c>
      <c r="F6" s="8" t="s">
        <v>85</v>
      </c>
    </row>
    <row r="7" spans="1:6" x14ac:dyDescent="0.25">
      <c r="A7" t="s">
        <v>86</v>
      </c>
      <c r="B7" s="18">
        <v>1554346000</v>
      </c>
      <c r="C7" s="18">
        <v>1359861000</v>
      </c>
      <c r="D7" s="18">
        <v>1333584000</v>
      </c>
      <c r="E7" s="18">
        <v>1292113000</v>
      </c>
      <c r="F7" s="8" t="s">
        <v>87</v>
      </c>
    </row>
    <row r="8" spans="1:6" x14ac:dyDescent="0.25">
      <c r="A8" t="s">
        <v>88</v>
      </c>
      <c r="B8" s="18">
        <v>934346000</v>
      </c>
      <c r="C8" s="18">
        <v>755584000</v>
      </c>
      <c r="D8" s="18">
        <v>793283000</v>
      </c>
      <c r="E8" s="18">
        <v>650024000</v>
      </c>
      <c r="F8" s="8" t="s">
        <v>89</v>
      </c>
    </row>
    <row r="9" spans="1:6" x14ac:dyDescent="0.25">
      <c r="A9" t="s">
        <v>90</v>
      </c>
      <c r="B9" s="18">
        <v>679000</v>
      </c>
      <c r="C9" s="18">
        <v>72479000</v>
      </c>
      <c r="D9" s="18">
        <v>-258134000</v>
      </c>
      <c r="E9" s="18">
        <v>-148886000</v>
      </c>
      <c r="F9" s="8" t="s">
        <v>91</v>
      </c>
    </row>
    <row r="10" spans="1:6" x14ac:dyDescent="0.25">
      <c r="A10" t="s">
        <v>92</v>
      </c>
      <c r="B10" s="18">
        <v>29186714000</v>
      </c>
      <c r="C10" s="18">
        <v>24784778000</v>
      </c>
      <c r="D10" s="18">
        <v>26518284000</v>
      </c>
      <c r="E10" s="18">
        <v>25458239000</v>
      </c>
      <c r="F10" s="8" t="s">
        <v>93</v>
      </c>
    </row>
    <row r="11" spans="1:6" x14ac:dyDescent="0.25">
      <c r="A11" t="s">
        <v>94</v>
      </c>
      <c r="B11" s="18">
        <v>823147000</v>
      </c>
      <c r="C11" s="18">
        <v>1400345000</v>
      </c>
      <c r="D11" s="18">
        <v>2168991000</v>
      </c>
      <c r="E11" s="18">
        <v>621628000</v>
      </c>
      <c r="F11" s="8" t="s">
        <v>95</v>
      </c>
    </row>
    <row r="12" spans="1:6" x14ac:dyDescent="0.25">
      <c r="A12" t="s">
        <v>32</v>
      </c>
      <c r="B12" s="34">
        <v>326367000</v>
      </c>
      <c r="C12" s="34">
        <v>326097000</v>
      </c>
      <c r="D12" s="34">
        <v>326808000</v>
      </c>
      <c r="E12" s="34">
        <v>327817000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