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<sst xmlns="http://schemas.openxmlformats.org/spreadsheetml/2006/main" count="120" uniqueCount="107">
  <si>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Simon Property Group, Inc. (SPG)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</si>
  <si>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</si>
  <si>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</si>
  <si>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</si>
  <si>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</si>
  <si>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</si>
  <si>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</si>
  <si>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</si>
  <si>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</si>
  <si>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</si>
  <si>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</si>
  <si>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</si>
  <si>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</si>
  <si>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</si>
  <si>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</si>
  <si>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</si>
  <si>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</si>
  <si>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</si>
  <si>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</si>
  <si>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</si>
  <si>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</si>
  <si>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</si>
  <si>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</si>
  <si>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</si>
  <si>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</si>
  <si>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</si>
  <si>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</si>
  <si>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</si>
  <si>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</si>
  <si>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</si>
  <si>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</si>
  <si>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</si>
  <si>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</si>
  <si>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</si>
  <si>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</si>
  <si>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</si>
  <si>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</si>
  <si>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</si>
  <si>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</si>
  <si>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</si>
  <si>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</si>
  <si>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</si>
  <si>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</si>
  <si>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</si>
  <si>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</si>
  <si>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</si>
  <si>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</si>
  <si>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</si>
  <si>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</si>
  <si>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</si>
  <si>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</si>
  <si>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</si>
  <si>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</si>
  <si>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</si>
  <si>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</si>
  <si>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</si>
  <si>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</si>
  <si>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</si>
  <si>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</si>
  <si>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</si>
  <si>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</si>
  <si>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</si>
  <si>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</si>
  <si>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</si>
  <si>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</si>
  <si>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</si>
  <si>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</si>
  <si>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</si>
  <si>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</si>
  <si>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</si>
  <si>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</si>
  <si>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</si>
  <si>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</si>
  <si>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</si>
  <si>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</si>
  <si>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</si>
  <si>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</si>
  <si>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</si>
  <si>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</si>
  <si>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</si>
  <si>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</si>
  <si>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</si>
  <si>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</si>
  <si>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</si>
  <si>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</si>
  <si>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</si>
  <si>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</si>
  <si>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</si>
  <si>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</si>
  <si>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</si>
  <si>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</si>
  <si>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</si>
  <si>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</si>
  <si>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</si>
  <si>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</si>
  <si>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</si>
  <si>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</si>
  <si>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</si>
  <si>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</si>
  <si>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</si>
  <si>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</si>
  <si>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</si>
  <si>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</si>
  <si>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</si>
  <si>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</si>
  <si>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23.5x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</si>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</sst>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0.04840141849209001</v>
      </c>
    </row>
    <row r="7" spans="1:2" x14ac:dyDescent="0.25">
      <c r="A7" t="s">
        <v>4</v>
      </c>
      <c r="B7" s="5">
        <v>0.500452694645315</v>
      </c>
    </row>
    <row r="8" spans="1:2" x14ac:dyDescent="0.25">
      <c r="A8" t="s">
        <v>5</v>
      </c>
      <c r="B8" s="5">
        <v>0.019394022622694174</v>
      </c>
    </row>
    <row r="9" spans="1:2" x14ac:dyDescent="0.25">
      <c r="A9" t="s">
        <v>6</v>
      </c>
      <c r="B9" s="5">
        <v>0.23802332797877435</v>
      </c>
    </row>
    <row r="10" spans="1:3" x14ac:dyDescent="0.25">
      <c r="A10" t="s">
        <v>7</v>
      </c>
      <c r="B10" s="5">
        <v>0.13413249522200357</v>
      </c>
      <c r="C10" s="6" t="s">
        <v>8</v>
      </c>
    </row>
    <row r="11" spans="1:2" x14ac:dyDescent="0.25">
      <c r="A11" t="s">
        <v>9</v>
      </c>
      <c r="B11" s="5">
        <v>-0.15340931462361274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0.09377280014323272</v>
      </c>
      <c r="C14" s="6" t="s">
        <v>13</v>
      </c>
    </row>
    <row r="15" spans="1:3" x14ac:dyDescent="0.25">
      <c r="A15" t="s">
        <v>14</v>
      </c>
      <c r="B15" s="5">
        <v>0.23802332797877435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1.2231100000000001</v>
      </c>
      <c r="C19" s="6" t="s">
        <v>21</v>
      </c>
    </row>
    <row r="20" spans="1:2" x14ac:dyDescent="0.25">
      <c r="A20" t="s">
        <v>22</v>
      </c>
      <c r="B20" s="9">
        <f>B17+B19*B18</f>
        <v>0.100677553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82663014400</v>
      </c>
    </row>
    <row r="23" spans="1:2" x14ac:dyDescent="0.25">
      <c r="A23" t="s">
        <v>26</v>
      </c>
      <c r="B23" s="10">
        <v>29186714000</v>
      </c>
    </row>
    <row r="24" spans="1:2" x14ac:dyDescent="0.25">
      <c r="A24" t="s">
        <v>27</v>
      </c>
      <c r="B24" s="9">
        <f>B22/(B22+B23)</f>
        <v>0.7390542255442795</v>
      </c>
    </row>
    <row r="25" spans="1:2" x14ac:dyDescent="0.25">
      <c r="A25" t="s">
        <v>28</v>
      </c>
      <c r="B25" s="9">
        <f>1-B24</f>
        <v>0.26094577445572054</v>
      </c>
    </row>
    <row r="26" spans="1:2" x14ac:dyDescent="0.25">
      <c r="A26" t="s">
        <v>29</v>
      </c>
      <c r="B26" s="11">
        <f>B24*B20+B25*B21*(1-B8)</f>
        <v>0.08920655856406826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6364505000</v>
      </c>
      <c r="C29" s="6" t="s">
        <v>32</v>
      </c>
    </row>
    <row r="30" spans="1:2" x14ac:dyDescent="0.25">
      <c r="A30" t="s">
        <v>33</v>
      </c>
      <c r="B30" s="10">
        <v>28363567000</v>
      </c>
    </row>
    <row r="31" spans="1:2" x14ac:dyDescent="0.25">
      <c r="A31" t="s">
        <v>34</v>
      </c>
      <c r="B31" s="12">
        <v>326367000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0.04840141849209001</v>
      </c>
      <c r="C5" s="5">
        <v>0.04187056760094032</v>
      </c>
      <c r="D5" s="5">
        <v>0.039761746650822785</v>
      </c>
      <c r="E5" s="5">
        <v>0.03765292570070524</v>
      </c>
      <c r="F5" s="5">
        <v>0.0355441047505877</v>
      </c>
      <c r="G5" s="5">
        <v>0.03343528380047016</v>
      </c>
      <c r="H5" s="5">
        <v>0.03132646285035262</v>
      </c>
      <c r="I5" s="5">
        <v>0.029217641900235083</v>
      </c>
      <c r="J5" s="5">
        <v>0.027108820950117542</v>
      </c>
      <c r="K5" s="5">
        <v>0.025</v>
      </c>
    </row>
    <row r="6" spans="1:11" x14ac:dyDescent="0.25">
      <c r="A6" t="s">
        <v>50</v>
      </c>
      <c r="B6" s="18">
        <f>Assumptions!B29*(1+B5)</f>
        <v>6672556069.999999</v>
      </c>
      <c r="C6" s="18">
        <f>B6*(1+C5)</f>
        <v>6951939779.999999</v>
      </c>
      <c r="D6" s="18">
        <f>C6*(1+D5)</f>
        <v>7228361048.264136</v>
      </c>
      <c r="E6" s="18">
        <f>D6*(1+E5)</f>
        <v>7500529989.752297</v>
      </c>
      <c r="F6" s="18">
        <f>E6*(1+F5)</f>
        <v>7767129613.392978</v>
      </c>
      <c r="G6" s="18">
        <f>F6*(1+G5)</f>
        <v>8026825796.331808</v>
      </c>
      <c r="H6" s="18">
        <f>G6*(1+H5)</f>
        <v>8278277856.446849</v>
      </c>
      <c r="I6" s="18">
        <f>H6*(1+I5)</f>
        <v>8520149614.407158</v>
      </c>
      <c r="J6" s="18">
        <f>I6*(1+J5)</f>
        <v>8751120824.772335</v>
      </c>
      <c r="K6" s="18">
        <f>J6*(1+K5)</f>
        <v>8969898845.391644</v>
      </c>
    </row>
    <row r="7" spans="1:11" x14ac:dyDescent="0.25">
      <c r="A7" t="s">
        <v>4</v>
      </c>
      <c r="B7" s="9">
        <f>Assumptions!B7</f>
        <v>0.500452694645315</v>
      </c>
      <c r="C7" s="9">
        <f>Assumptions!B7</f>
        <v>0.500452694645315</v>
      </c>
      <c r="D7" s="9">
        <f>Assumptions!B7</f>
        <v>0.500452694645315</v>
      </c>
      <c r="E7" s="9">
        <f>Assumptions!B7</f>
        <v>0.500452694645315</v>
      </c>
      <c r="F7" s="9">
        <f>Assumptions!B7</f>
        <v>0.500452694645315</v>
      </c>
      <c r="G7" s="9">
        <f>Assumptions!B7</f>
        <v>0.500452694645315</v>
      </c>
      <c r="H7" s="9">
        <f>Assumptions!B7</f>
        <v>0.500452694645315</v>
      </c>
      <c r="I7" s="9">
        <f>Assumptions!B7</f>
        <v>0.500452694645315</v>
      </c>
      <c r="J7" s="9">
        <f>Assumptions!B7</f>
        <v>0.500452694645315</v>
      </c>
      <c r="K7" s="9">
        <f>Assumptions!B7</f>
        <v>0.500452694645315</v>
      </c>
    </row>
    <row r="8" spans="1:11" x14ac:dyDescent="0.25">
      <c r="A8" t="s">
        <v>51</v>
      </c>
      <c r="B8" s="18">
        <f>B6*B7</f>
        <v>3339298665.403453</v>
      </c>
      <c r="C8" s="18">
        <f>C6*C7</f>
        <v>3479116995.912958</v>
      </c>
      <c r="D8" s="18">
        <f>D6*D7</f>
        <v>3617452764.473021</v>
      </c>
      <c r="E8" s="18">
        <f>E6*E7</f>
        <v>3753660444.6395345</v>
      </c>
      <c r="F8" s="18">
        <f>F6*F7</f>
        <v>3887080944.68194</v>
      </c>
      <c r="G8" s="18">
        <f>G6*G7</f>
        <v>4017046599.22278</v>
      </c>
      <c r="H8" s="18">
        <f>H6*H7</f>
        <v>4142886460.281468</v>
      </c>
      <c r="I8" s="18">
        <f>I6*I7</f>
        <v>4263931833.311304</v>
      </c>
      <c r="J8" s="18">
        <f>J6*J7</f>
        <v>4379521997.924047</v>
      </c>
      <c r="K8" s="18">
        <f>K6*K7</f>
        <v>4489010047.8721485</v>
      </c>
    </row>
    <row r="9" spans="1:11" x14ac:dyDescent="0.25">
      <c r="A9" t="s">
        <v>52</v>
      </c>
      <c r="B9" s="18">
        <f>B8*(1-Assumptions!B8)</f>
        <v>3274536231.542686</v>
      </c>
      <c r="C9" s="18">
        <f>C8*(1-Assumptions!B8)</f>
        <v>3411642922.1872225</v>
      </c>
      <c r="D9" s="18">
        <f>D8*(1-Assumptions!B8)</f>
        <v>3547295803.722304</v>
      </c>
      <c r="E9" s="18">
        <f>E8*(1-Assumptions!B8)</f>
        <v>3680861869.058283</v>
      </c>
      <c r="F9" s="18">
        <f>F8*(1-Assumptions!B8)</f>
        <v>3811694808.904535</v>
      </c>
      <c r="G9" s="18">
        <f>G8*(1-Assumptions!B8)</f>
        <v>3939139906.601037</v>
      </c>
      <c r="H9" s="18">
        <f>H8*(1-Assumptions!B8)</f>
        <v>4062539226.547516</v>
      </c>
      <c r="I9" s="18">
        <f>I8*(1-Assumptions!B8)</f>
        <v>4181237042.874439</v>
      </c>
      <c r="J9" s="18">
        <f>J8*(1-Assumptions!B8)</f>
        <v>4294585449.219722</v>
      </c>
      <c r="K9" s="18">
        <f>K8*(1-Assumptions!B8)</f>
        <v>4401950085.450214</v>
      </c>
    </row>
    <row r="10" spans="1:11" x14ac:dyDescent="0.25">
      <c r="A10" t="s">
        <v>53</v>
      </c>
      <c r="B10" s="18">
        <f>B6*Assumptions!B9</f>
        <v>1588224001.9063714</v>
      </c>
      <c r="C10" s="18">
        <f>C6*Assumptions!B9</f>
        <v>1654723842.3436282</v>
      </c>
      <c r="D10" s="18">
        <f>D6*Assumptions!B9</f>
        <v>1720518552.5399716</v>
      </c>
      <c r="E10" s="18">
        <f>E6*Assumptions!B9</f>
        <v>1785301109.765444</v>
      </c>
      <c r="F10" s="18">
        <f>F6*Assumptions!B9</f>
        <v>1848758039.4222875</v>
      </c>
      <c r="G10" s="18">
        <f>G6*Assumptions!B9</f>
        <v>1910571789.1487725</v>
      </c>
      <c r="H10" s="18">
        <f>H6*Assumptions!B9</f>
        <v>1970423245.3244734</v>
      </c>
      <c r="I10" s="18">
        <f>I6*Assumptions!B9</f>
        <v>2027994366.0982628</v>
      </c>
      <c r="J10" s="18">
        <f>J6*Assumptions!B9</f>
        <v>2082970902.2566679</v>
      </c>
      <c r="K10" s="18">
        <f>K6*Assumptions!B9</f>
        <v>2135045174.8130846</v>
      </c>
    </row>
    <row r="11" spans="1:11" x14ac:dyDescent="0.25">
      <c r="A11" t="s">
        <v>54</v>
      </c>
      <c r="B11" s="18">
        <f>-B6*B19</f>
        <v>-895006595.1778258</v>
      </c>
      <c r="C11" s="18">
        <f>-C6*C19</f>
        <v>-1113791368.7608683</v>
      </c>
      <c r="D11" s="18">
        <f>-D6*D19</f>
        <v>-1346597214.2056165</v>
      </c>
      <c r="E11" s="18">
        <f>-E6*E19</f>
        <v>-1592918407.0848434</v>
      </c>
      <c r="F11" s="18">
        <f>-F6*F19</f>
        <v>-1852108195.8215034</v>
      </c>
      <c r="G11" s="18">
        <f>-G6*G19</f>
        <v>-2123377905.528882</v>
      </c>
      <c r="H11" s="18">
        <f>-H6*H19</f>
        <v>-2405797776.5191755</v>
      </c>
      <c r="I11" s="18">
        <f>-I6*I19</f>
        <v>-2698299612.270007</v>
      </c>
      <c r="J11" s="18">
        <f>-J6*J19</f>
        <v>-2999681284.916357</v>
      </c>
      <c r="K11" s="18">
        <f>-K6*K19</f>
        <v>-3308613117.4165053</v>
      </c>
    </row>
    <row r="12" spans="1:11" x14ac:dyDescent="0.25">
      <c r="A12" t="s">
        <v>55</v>
      </c>
      <c r="B12" s="18">
        <f>-(B6-Assumptions!B29)*Assumptions!B11</f>
        <v>47257903.5177704</v>
      </c>
      <c r="C12" s="18">
        <f>-(C6-B6)*Assumptions!B11</f>
        <v>42860063.46810218</v>
      </c>
      <c r="D12" s="18">
        <f>-(D6-C6)*Assumptions!B11</f>
        <v>42405597.31179109</v>
      </c>
      <c r="E12" s="18">
        <f>-(E6-D6)*Assumptions!B11</f>
        <v>41753250.775532946</v>
      </c>
      <c r="F12" s="18">
        <f>-(F6-E6)*Assumptions!B11</f>
        <v>40898865.54162987</v>
      </c>
      <c r="G12" s="18">
        <f>-(G6-F6)*Assumptions!B11</f>
        <v>39839813.43501432</v>
      </c>
      <c r="H12" s="18">
        <f>-(H6-G6)*Assumptions!B11</f>
        <v>38575088.20294388</v>
      </c>
      <c r="I12" s="18">
        <f>-(I6-H6)*Assumptions!B11</f>
        <v>37105380.615499355</v>
      </c>
      <c r="J12" s="18">
        <f>-(J6-I6)*Assumptions!B11</f>
        <v>35433135.0799081</v>
      </c>
      <c r="K12" s="18">
        <f>-(K6-J6)*Assumptions!B11</f>
        <v>33562586.19791873</v>
      </c>
    </row>
    <row r="13" spans="1:11" x14ac:dyDescent="0.25">
      <c r="A13" s="19" t="s">
        <v>56</v>
      </c>
      <c r="B13" s="20">
        <f>B9+B10+B11+B12</f>
        <v>4015011541.789002</v>
      </c>
      <c r="C13" s="20">
        <f>C9+C10+C11+C12</f>
        <v>3995435459.2380843</v>
      </c>
      <c r="D13" s="20">
        <f>D9+D10+D11+D12</f>
        <v>3963622739.36845</v>
      </c>
      <c r="E13" s="20">
        <f>E9+E10+E11+E12</f>
        <v>3914997822.5144157</v>
      </c>
      <c r="F13" s="20">
        <f>F9+F10+F11+F12</f>
        <v>3849243518.0469484</v>
      </c>
      <c r="G13" s="20">
        <f>G9+G10+G11+G12</f>
        <v>3766173603.6559415</v>
      </c>
      <c r="H13" s="20">
        <f>H9+H10+H11+H12</f>
        <v>3665739783.5557575</v>
      </c>
      <c r="I13" s="20">
        <f>I9+I10+I11+I12</f>
        <v>3548037177.3181944</v>
      </c>
      <c r="J13" s="20">
        <f>J9+J10+J11+J12</f>
        <v>3413308201.6399407</v>
      </c>
      <c r="K13" s="20">
        <f>K9+K10+K11+K12</f>
        <v>3261944729.0447125</v>
      </c>
    </row>
    <row r="14" spans="1:11" x14ac:dyDescent="0.25">
      <c r="A14" t="s">
        <v>57</v>
      </c>
      <c r="B14" s="21">
        <f>1/(1+Assumptions!$B$26)^(1-0.5*Assumptions!$B$32)</f>
        <v>0.9581750899103489</v>
      </c>
      <c r="C14" s="21">
        <f>1/(1+Assumptions!$B$26)^(2-0.5*Assumptions!$B$32)</f>
        <v>0.8797000737615263</v>
      </c>
      <c r="D14" s="21">
        <f>1/(1+Assumptions!$B$26)^(3-0.5*Assumptions!$B$32)</f>
        <v>0.8076522004432839</v>
      </c>
      <c r="E14" s="21">
        <f>1/(1+Assumptions!$B$26)^(4-0.5*Assumptions!$B$32)</f>
        <v>0.7415050837630234</v>
      </c>
      <c r="F14" s="21">
        <f>1/(1+Assumptions!$B$26)^(5-0.5*Assumptions!$B$32)</f>
        <v>0.6807754488189738</v>
      </c>
      <c r="G14" s="21">
        <f>1/(1+Assumptions!$B$26)^(6-0.5*Assumptions!$B$32)</f>
        <v>0.625019601164043</v>
      </c>
      <c r="H14" s="21">
        <f>1/(1+Assumptions!$B$26)^(7-0.5*Assumptions!$B$32)</f>
        <v>0.5738301851469054</v>
      </c>
      <c r="I14" s="21">
        <f>1/(1+Assumptions!$B$26)^(8-0.5*Assumptions!$B$32)</f>
        <v>0.5268332077465655</v>
      </c>
      <c r="J14" s="21">
        <f>1/(1+Assumptions!$B$26)^(9-0.5*Assumptions!$B$32)</f>
        <v>0.48368530615634986</v>
      </c>
      <c r="K14" s="21">
        <f>1/(1+Assumptions!$B$26)^(10-0.5*Assumptions!$B$32)</f>
        <v>0.44407123915412877</v>
      </c>
    </row>
    <row r="15" spans="1:11" x14ac:dyDescent="0.25">
      <c r="A15" s="19" t="s">
        <v>58</v>
      </c>
      <c r="B15" s="20">
        <f>B13*B14</f>
        <v>3847084045.0447655</v>
      </c>
      <c r="C15" s="20">
        <f>C13*C14</f>
        <v>3514784868.2011604</v>
      </c>
      <c r="D15" s="20">
        <f>D13*D14</f>
        <v>3201228627.1779656</v>
      </c>
      <c r="E15" s="20">
        <f>E13*E14</f>
        <v>2902990788.315606</v>
      </c>
      <c r="F15" s="20">
        <f>F13*F14</f>
        <v>2620470483.611937</v>
      </c>
      <c r="G15" s="20">
        <f>G13*G14</f>
        <v>2353932323.671583</v>
      </c>
      <c r="H15" s="20">
        <f>H13*H14</f>
        <v>2103512138.6981773</v>
      </c>
      <c r="I15" s="20">
        <f>I13*I14</f>
        <v>1869223807.330614</v>
      </c>
      <c r="J15" s="20">
        <f>J13*J14</f>
        <v>1650967022.5161946</v>
      </c>
      <c r="K15" s="20">
        <f>K13*K14</f>
        <v>1448535837.8791642</v>
      </c>
    </row>
    <row r="17" spans="1:2" x14ac:dyDescent="0.25">
      <c r="A17" s="22" t="s">
        <v>59</v>
      </c>
      <c r="B17" s="23">
        <f>SUM(B15:K15)</f>
        <v>25512729942.44717</v>
      </c>
    </row>
    <row r="19" spans="1:11" x14ac:dyDescent="0.25">
      <c r="A19" t="s">
        <v>7</v>
      </c>
      <c r="B19" s="9">
        <f>Assumptions!$B$10+($B$20-Assumptions!$B$10)*0/9</f>
        <v>0.13413249522200357</v>
      </c>
      <c r="C19" s="9">
        <f>Assumptions!$B$10+($B$20-Assumptions!$B$10)*1/9</f>
        <v>0.16021303463604925</v>
      </c>
      <c r="D19" s="9">
        <f>Assumptions!$B$10+($B$20-Assumptions!$B$10)*2/9</f>
        <v>0.1862935740500949</v>
      </c>
      <c r="E19" s="9">
        <f>Assumptions!$B$10+($B$20-Assumptions!$B$10)*3/9</f>
        <v>0.21237411346414056</v>
      </c>
      <c r="F19" s="9">
        <f>Assumptions!$B$10+($B$20-Assumptions!$B$10)*4/9</f>
        <v>0.23845465287818624</v>
      </c>
      <c r="G19" s="9">
        <f>Assumptions!$B$10+($B$20-Assumptions!$B$10)*5/9</f>
        <v>0.2645351922922319</v>
      </c>
      <c r="H19" s="9">
        <f>Assumptions!$B$10+($B$20-Assumptions!$B$10)*6/9</f>
        <v>0.2906157317062775</v>
      </c>
      <c r="I19" s="9">
        <f>Assumptions!$B$10+($B$20-Assumptions!$B$10)*7/9</f>
        <v>0.3166962711203233</v>
      </c>
      <c r="J19" s="9">
        <f>Assumptions!$B$10+($B$20-Assumptions!$B$10)*8/9</f>
        <v>0.3427768105343689</v>
      </c>
      <c r="K19" s="9">
        <f>Assumptions!$B$10+($B$20-Assumptions!$B$10)*9/9</f>
        <v>0.36885734994841457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0.36885734994841457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3261944729.0447125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4401950085.450214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0.2666018286946097</v>
      </c>
    </row>
    <row r="7" spans="1:2" x14ac:dyDescent="0.25">
      <c r="A7" t="s">
        <v>66</v>
      </c>
      <c r="B7" s="18">
        <f>-MAX(B5,0)*B6</f>
        <v>-1173567942.6034205</v>
      </c>
    </row>
    <row r="8" spans="1:2" x14ac:dyDescent="0.25">
      <c r="A8" t="s">
        <v>67</v>
      </c>
      <c r="B8" s="18">
        <f>IF(OR(Assumptions!$B$33=0,Assumptions!B12&lt;=0),B5,MAX(B5+B7,0))</f>
        <v>3228382142.846794</v>
      </c>
    </row>
    <row r="9" spans="1:2" x14ac:dyDescent="0.25">
      <c r="A9" t="s">
        <v>68</v>
      </c>
      <c r="B9" s="18">
        <f>B8*(1+Assumptions!B12)/(Assumptions!B26-Assumptions!B12)</f>
        <v>51538219310.04134</v>
      </c>
    </row>
    <row r="10" spans="1:2" x14ac:dyDescent="0.25">
      <c r="A10" t="s">
        <v>69</v>
      </c>
      <c r="B10" s="18">
        <f>B9/(1+Assumptions!B26)^(10-0.5*Assumptions!B32)</f>
        <v>22886640912.80731</v>
      </c>
    </row>
    <row r="11" spans="1:2" x14ac:dyDescent="0.25">
      <c r="A11" t="s">
        <v>70</v>
      </c>
      <c r="B11" s="18">
        <f>Forecast!B17+B10</f>
        <v>48399370855.25448</v>
      </c>
    </row>
    <row r="12" spans="1:2" x14ac:dyDescent="0.25">
      <c r="A12" t="s">
        <v>71</v>
      </c>
      <c r="B12" s="18">
        <f>-Assumptions!B30</f>
        <v>-28363567000</v>
      </c>
    </row>
    <row r="13" spans="1:2" x14ac:dyDescent="0.25">
      <c r="A13" t="s">
        <v>72</v>
      </c>
      <c r="B13" s="18">
        <f>B11+B12</f>
        <v>20035803855.25448</v>
      </c>
    </row>
    <row r="14" spans="1:2" x14ac:dyDescent="0.25">
      <c r="A14" s="19" t="s">
        <v>73</v>
      </c>
      <c r="B14" s="24">
        <f>B13/Assumptions!B31</f>
        <v>61.390409738896636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6624055222.685233</v>
      </c>
    </row>
    <row r="18" spans="1:2" x14ac:dyDescent="0.25">
      <c r="A18" t="s">
        <v>68</v>
      </c>
      <c r="B18" s="18">
        <f>B17*Assumptions!B13</f>
        <v>132481104453.70467</v>
      </c>
    </row>
    <row r="19" spans="1:2" x14ac:dyDescent="0.25">
      <c r="A19" t="s">
        <v>69</v>
      </c>
      <c r="B19" s="18">
        <f>B18/(1+Assumptions!B26)^(10-0.5*Assumptions!B32)</f>
        <v>58831048219.2642</v>
      </c>
    </row>
    <row r="20" spans="1:2" x14ac:dyDescent="0.25">
      <c r="A20" t="s">
        <v>70</v>
      </c>
      <c r="B20" s="18">
        <f>Forecast!B17+B19</f>
        <v>84343778161.71136</v>
      </c>
    </row>
    <row r="21" spans="1:2" x14ac:dyDescent="0.25">
      <c r="A21" t="s">
        <v>71</v>
      </c>
      <c r="B21" s="18">
        <f>-Assumptions!B30</f>
        <v>-28363567000</v>
      </c>
    </row>
    <row r="22" spans="1:2" x14ac:dyDescent="0.25">
      <c r="A22" t="s">
        <v>72</v>
      </c>
      <c r="B22" s="18">
        <f>B20+B21</f>
        <v>55980211161.711365</v>
      </c>
    </row>
    <row r="23" spans="1:2" x14ac:dyDescent="0.25">
      <c r="A23" s="19" t="s">
        <v>73</v>
      </c>
      <c r="B23" s="25">
        <f>B22/Assumptions!B31</f>
        <v>171.52534159921612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217.75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61.390409738896636</v>
      </c>
    </row>
    <row r="29" spans="1:2" x14ac:dyDescent="0.25">
      <c r="A29" s="19" t="s">
        <v>81</v>
      </c>
      <c r="B29" s="11">
        <f>B28/B26-1</f>
        <v>-0.7180693008546652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0.069207</v>
      </c>
      <c r="B5" s="31">
        <v>114.19105598869001</v>
      </c>
      <c r="C5" s="31">
        <v>116.20426292240938</v>
      </c>
      <c r="D5" s="31">
        <v>119.06579894711267</v>
      </c>
      <c r="E5" s="31">
        <v>123.10022182964677</v>
      </c>
      <c r="F5" s="31">
        <v>128.82185036053585</v>
      </c>
    </row>
    <row r="6" spans="1:6" x14ac:dyDescent="0.25">
      <c r="A6" s="30">
        <v>0.079207</v>
      </c>
      <c r="B6" s="31">
        <v>85.13659926666523</v>
      </c>
      <c r="C6" s="31">
        <v>84.93561126317148</v>
      </c>
      <c r="D6" s="31">
        <v>85.0005519090543</v>
      </c>
      <c r="E6" s="31">
        <v>85.41248547851556</v>
      </c>
      <c r="F6" s="31">
        <v>86.28915110458122</v>
      </c>
    </row>
    <row r="7" spans="1:6" x14ac:dyDescent="0.25">
      <c r="A7" s="30">
        <v>0.089207</v>
      </c>
      <c r="B7" s="31">
        <v>63.83184195798754</v>
      </c>
      <c r="C7" s="31">
        <v>62.58660165104957</v>
      </c>
      <c r="D7" s="32">
        <v>61.38952650471002</v>
      </c>
      <c r="E7" s="31">
        <v>60.25281908638465</v>
      </c>
      <c r="F7" s="31">
        <v>59.193184174426946</v>
      </c>
    </row>
    <row r="8" spans="1:6" x14ac:dyDescent="0.25">
      <c r="A8" s="30">
        <v>0.099207</v>
      </c>
      <c r="B8" s="31">
        <v>48.391354431653916</v>
      </c>
      <c r="C8" s="31">
        <v>46.999565972650814</v>
      </c>
      <c r="D8" s="31">
        <v>45.607777513647704</v>
      </c>
      <c r="E8" s="31">
        <v>44.21598905464463</v>
      </c>
      <c r="F8" s="31">
        <v>42.8242005956415</v>
      </c>
    </row>
    <row r="9" spans="1:6" x14ac:dyDescent="0.25">
      <c r="A9" s="30">
        <v>0.109207</v>
      </c>
      <c r="B9" s="31">
        <v>36.55206185929232</v>
      </c>
      <c r="C9" s="31">
        <v>35.353458499084894</v>
      </c>
      <c r="D9" s="31">
        <v>34.154855138877444</v>
      </c>
      <c r="E9" s="31">
        <v>32.956251778670044</v>
      </c>
      <c r="F9" s="31">
        <v>31.75764841846262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6364505000</v>
      </c>
      <c r="C5" s="18">
        <v>5963798000</v>
      </c>
      <c r="D5" s="18">
        <v>5658836000</v>
      </c>
      <c r="E5" s="18">
        <v>5291447000</v>
      </c>
      <c r="F5" s="6" t="s">
        <v>91</v>
      </c>
    </row>
    <row r="6" spans="1:6" x14ac:dyDescent="0.25">
      <c r="A6" t="s">
        <v>51</v>
      </c>
      <c r="B6" s="18">
        <v>3175396000</v>
      </c>
      <c r="C6" s="18">
        <v>3092796000</v>
      </c>
      <c r="D6" s="18">
        <v>2807022000</v>
      </c>
      <c r="E6" s="18">
        <v>2583553000</v>
      </c>
      <c r="F6" s="6" t="s">
        <v>92</v>
      </c>
    </row>
    <row r="7" spans="1:6" x14ac:dyDescent="0.25">
      <c r="A7" t="s">
        <v>93</v>
      </c>
      <c r="B7" s="18">
        <v>1554346000</v>
      </c>
      <c r="C7" s="18">
        <v>1359861000</v>
      </c>
      <c r="D7" s="18">
        <v>1333584000</v>
      </c>
      <c r="E7" s="18">
        <v>1292113000</v>
      </c>
      <c r="F7" s="6" t="s">
        <v>94</v>
      </c>
    </row>
    <row r="8" spans="1:6" x14ac:dyDescent="0.25">
      <c r="A8" t="s">
        <v>95</v>
      </c>
      <c r="B8" s="18">
        <v>934346000</v>
      </c>
      <c r="C8" s="18">
        <v>755584000</v>
      </c>
      <c r="D8" s="18">
        <v>793283000</v>
      </c>
      <c r="E8" s="18">
        <v>650024000</v>
      </c>
      <c r="F8" s="6" t="s">
        <v>96</v>
      </c>
    </row>
    <row r="9" spans="1:6" x14ac:dyDescent="0.25">
      <c r="A9" t="s">
        <v>97</v>
      </c>
      <c r="B9" s="18">
        <v>679000</v>
      </c>
      <c r="C9" s="18">
        <v>72479000</v>
      </c>
      <c r="D9" s="18">
        <v>-258134000</v>
      </c>
      <c r="E9" s="18">
        <v>-148886000</v>
      </c>
      <c r="F9" s="6" t="s">
        <v>98</v>
      </c>
    </row>
    <row r="10" spans="1:6" x14ac:dyDescent="0.25">
      <c r="A10" t="s">
        <v>99</v>
      </c>
      <c r="B10" s="18">
        <v>29186714000</v>
      </c>
      <c r="C10" s="18">
        <v>24784778000</v>
      </c>
      <c r="D10" s="18">
        <v>26518284000</v>
      </c>
      <c r="E10" s="18">
        <v>25458239000</v>
      </c>
      <c r="F10" s="6" t="s">
        <v>100</v>
      </c>
    </row>
    <row r="11" spans="1:6" x14ac:dyDescent="0.25">
      <c r="A11" t="s">
        <v>101</v>
      </c>
      <c r="B11" s="18">
        <v>823147000</v>
      </c>
      <c r="C11" s="18">
        <v>1400345000</v>
      </c>
      <c r="D11" s="18">
        <v>2168991000</v>
      </c>
      <c r="E11" s="18">
        <v>621628000</v>
      </c>
      <c r="F11" s="6" t="s">
        <v>102</v>
      </c>
    </row>
    <row r="12" spans="1:6" x14ac:dyDescent="0.25">
      <c r="A12" t="s">
        <v>34</v>
      </c>
      <c r="B12" s="34">
        <v>326367000</v>
      </c>
      <c r="C12" s="34">
        <v>326097000</v>
      </c>
      <c r="D12" s="34">
        <v>326808000</v>
      </c>
      <c r="E12" s="34">
        <v>327816695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