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<sst xmlns="http://schemas.openxmlformats.org/spreadsheetml/2006/main" count="112" uniqueCount="100">
  <si>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S&amp;P Global Inc. (SPGI)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</si>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</sst>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0.11107613003386319</v>
      </c>
    </row>
    <row r="7" spans="1:2" x14ac:dyDescent="0.25">
      <c r="A7" t="s">
        <v>5</v>
      </c>
      <c r="B7" s="6">
        <v>0.3456861731406333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0.0853747829936361</v>
      </c>
    </row>
    <row r="10" spans="1:2" x14ac:dyDescent="0.25">
      <c r="A10" t="s">
        <v>8</v>
      </c>
      <c r="B10" s="6">
        <v>0.010211333933206872</v>
      </c>
    </row>
    <row r="11" spans="1:2" x14ac:dyDescent="0.25">
      <c r="A11" t="s">
        <v>9</v>
      </c>
      <c r="B11" s="6">
        <v>0.3495440729483283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17.84520662969005</v>
      </c>
    </row>
    <row r="14" spans="1:3" x14ac:dyDescent="0.25">
      <c r="A14" t="s">
        <v>12</v>
      </c>
      <c r="B14" s="6">
        <v>0.10084292658837285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1.05159</v>
      </c>
      <c r="C19" s="8" t="s">
        <v>19</v>
      </c>
    </row>
    <row r="20" spans="1:2" x14ac:dyDescent="0.25">
      <c r="A20" t="s">
        <v>20</v>
      </c>
      <c r="B20" s="10">
        <f>B17+B19*B18</f>
        <v>0.10781745000000001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119488339968</v>
      </c>
    </row>
    <row r="23" spans="1:2" x14ac:dyDescent="0.25">
      <c r="A23" t="s">
        <v>24</v>
      </c>
      <c r="B23" s="11">
        <v>13582000000</v>
      </c>
    </row>
    <row r="24" spans="1:2" x14ac:dyDescent="0.25">
      <c r="A24" t="s">
        <v>25</v>
      </c>
      <c r="B24" s="10">
        <f>B22/(B22+B23)</f>
        <v>0.8979336792611627</v>
      </c>
    </row>
    <row r="25" spans="1:2" x14ac:dyDescent="0.25">
      <c r="A25" t="s">
        <v>26</v>
      </c>
      <c r="B25" s="10">
        <f>1-B24</f>
        <v>0.10206632073883726</v>
      </c>
    </row>
    <row r="26" spans="1:2" x14ac:dyDescent="0.25">
      <c r="A26" t="s">
        <v>27</v>
      </c>
      <c r="B26" s="12">
        <f>B24*B20+B25*B21*(1-B8)</f>
        <v>0.10084292658837285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15336000000</v>
      </c>
      <c r="C29" s="8" t="s">
        <v>30</v>
      </c>
    </row>
    <row r="30" spans="1:2" x14ac:dyDescent="0.25">
      <c r="A30" t="s">
        <v>31</v>
      </c>
      <c r="B30" s="11">
        <v>11781000000</v>
      </c>
    </row>
    <row r="31" spans="1:2" x14ac:dyDescent="0.25">
      <c r="A31" t="s">
        <v>32</v>
      </c>
      <c r="B31" s="13">
        <v>305100000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0.11107613003386319</v>
      </c>
      <c r="C5" s="10">
        <f>Assumptions!B6</f>
        <v>0.11107613003386319</v>
      </c>
      <c r="D5" s="10">
        <f>Assumptions!B6</f>
        <v>0.11107613003386319</v>
      </c>
      <c r="E5" s="10">
        <f>Assumptions!B6</f>
        <v>0.11107613003386319</v>
      </c>
      <c r="F5" s="10">
        <f>Assumptions!B6</f>
        <v>0.11107613003386319</v>
      </c>
    </row>
    <row r="6" spans="1:6" x14ac:dyDescent="0.25">
      <c r="A6" t="s">
        <v>43</v>
      </c>
      <c r="B6" s="18">
        <f>Assumptions!B29*(1+B5)</f>
        <v>17039463530.199326</v>
      </c>
      <c r="C6" s="18">
        <f>B6*(1+C5)</f>
        <v>18932141196.987015</v>
      </c>
      <c r="D6" s="18">
        <f>C6*(1+D5)</f>
        <v>21035050174.403004</v>
      </c>
      <c r="E6" s="18">
        <f>D6*(1+E5)</f>
        <v>23371542142.84383</v>
      </c>
      <c r="F6" s="18">
        <f>E6*(1+F5)</f>
        <v>25967562596.994267</v>
      </c>
    </row>
    <row r="7" spans="1:6" x14ac:dyDescent="0.25">
      <c r="A7" t="s">
        <v>5</v>
      </c>
      <c r="B7" s="10">
        <f>Assumptions!B7</f>
        <v>0.3456861731406333</v>
      </c>
      <c r="C7" s="10">
        <f>Assumptions!B7</f>
        <v>0.3456861731406333</v>
      </c>
      <c r="D7" s="10">
        <f>Assumptions!B7</f>
        <v>0.3456861731406333</v>
      </c>
      <c r="E7" s="10">
        <f>Assumptions!B7</f>
        <v>0.3456861731406333</v>
      </c>
      <c r="F7" s="10">
        <f>Assumptions!B7</f>
        <v>0.3456861731406333</v>
      </c>
    </row>
    <row r="8" spans="1:6" x14ac:dyDescent="0.25">
      <c r="A8" t="s">
        <v>44</v>
      </c>
      <c r="B8" s="18">
        <f>B6*B7</f>
        <v>5890306940.123991</v>
      </c>
      <c r="C8" s="18">
        <f>C6*C7</f>
        <v>6544579439.74457</v>
      </c>
      <c r="D8" s="18">
        <f>D6*D7</f>
        <v>7271525996.610586</v>
      </c>
      <c r="E8" s="18">
        <f>E6*E7</f>
        <v>8079218963.754721</v>
      </c>
      <c r="F8" s="18">
        <f>F6*F7</f>
        <v>8976627339.944794</v>
      </c>
    </row>
    <row r="9" spans="1:6" x14ac:dyDescent="0.25">
      <c r="A9" t="s">
        <v>45</v>
      </c>
      <c r="B9" s="18">
        <f>B8*(1-Assumptions!B8)</f>
        <v>4653342482.697953</v>
      </c>
      <c r="C9" s="18">
        <f>C8*(1-Assumptions!B8)</f>
        <v>5170217757.398211</v>
      </c>
      <c r="D9" s="18">
        <f>D8*(1-Assumptions!B8)</f>
        <v>5744505537.322363</v>
      </c>
      <c r="E9" s="18">
        <f>E8*(1-Assumptions!B8)</f>
        <v>6382582981.36623</v>
      </c>
      <c r="F9" s="18">
        <f>F8*(1-Assumptions!B8)</f>
        <v>7091535598.556387</v>
      </c>
    </row>
    <row r="10" spans="1:6" x14ac:dyDescent="0.25">
      <c r="A10" t="s">
        <v>46</v>
      </c>
      <c r="B10" s="18">
        <f>B6*Assumptions!B9</f>
        <v>1454740501.218744</v>
      </c>
      <c r="C10" s="18">
        <f>C6*Assumptions!B9</f>
        <v>1616327446.2976444</v>
      </c>
      <c r="D10" s="18">
        <f>D6*Assumptions!B9</f>
        <v>1795862843.8999035</v>
      </c>
      <c r="E10" s="18">
        <f>E6*Assumptions!B9</f>
        <v>1995340338.671913</v>
      </c>
      <c r="F10" s="18">
        <f>F6*Assumptions!B9</f>
        <v>2216975021.592047</v>
      </c>
    </row>
    <row r="11" spans="1:6" x14ac:dyDescent="0.25">
      <c r="A11" t="s">
        <v>47</v>
      </c>
      <c r="B11" s="18">
        <f>-B6*Assumptions!B10</f>
        <v>-173995652.14956534</v>
      </c>
      <c r="C11" s="18">
        <f>-C6*Assumptions!B10</f>
        <v>-193322415.83305728</v>
      </c>
      <c r="D11" s="18">
        <f>-D6*Assumptions!B10</f>
        <v>-214795921.63259053</v>
      </c>
      <c r="E11" s="18">
        <f>-E6*Assumptions!B10</f>
        <v>-238654621.35459566</v>
      </c>
      <c r="F11" s="18">
        <f>-F6*Assumptions!B10</f>
        <v>-265163453.10936114</v>
      </c>
    </row>
    <row r="12" spans="1:6" x14ac:dyDescent="0.25">
      <c r="A12" t="s">
        <v>48</v>
      </c>
      <c r="B12" s="18">
        <f>-(B6-Assumptions!B29)*Assumptions!B11</f>
        <v>-595435580.4648099</v>
      </c>
      <c r="C12" s="18">
        <f>-(C6-B6)*Assumptions!B11</f>
        <v>-661574260.4273078</v>
      </c>
      <c r="D12" s="18">
        <f>-(D6-C6)*Assumptions!B11</f>
        <v>-735059369.0055889</v>
      </c>
      <c r="E12" s="18">
        <f>-(E6-D6)*Assumptions!B11</f>
        <v>-816706919.0598633</v>
      </c>
      <c r="F12" s="18">
        <f>-(F6-E6)*Assumptions!B11</f>
        <v>-907423563.0009124</v>
      </c>
    </row>
    <row r="13" spans="1:6" x14ac:dyDescent="0.25">
      <c r="A13" s="19" t="s">
        <v>49</v>
      </c>
      <c r="B13" s="20">
        <f>B9+B10+B11+B12</f>
        <v>5338651751.302322</v>
      </c>
      <c r="C13" s="20">
        <f>C9+C10+C11+C12</f>
        <v>5931648527.43549</v>
      </c>
      <c r="D13" s="20">
        <f>D9+D10+D11+D12</f>
        <v>6590513090.584087</v>
      </c>
      <c r="E13" s="20">
        <f>E9+E10+E11+E12</f>
        <v>7322561779.623685</v>
      </c>
      <c r="F13" s="20">
        <f>F9+F10+F11+F12</f>
        <v>8135923604.038159</v>
      </c>
    </row>
    <row r="14" spans="1:6" x14ac:dyDescent="0.25">
      <c r="A14" t="s">
        <v>50</v>
      </c>
      <c r="B14" s="21">
        <f>1/(1+Assumptions!$B$26)^(1-0.5*Assumptions!$B$32)</f>
        <v>0.9530974813554833</v>
      </c>
      <c r="C14" s="21">
        <f>1/(1+Assumptions!$B$26)^(2-0.5*Assumptions!$B$32)</f>
        <v>0.8657888045020483</v>
      </c>
      <c r="D14" s="21">
        <f>1/(1+Assumptions!$B$26)^(3-0.5*Assumptions!$B$32)</f>
        <v>0.7864780556706834</v>
      </c>
      <c r="E14" s="21">
        <f>1/(1+Assumptions!$B$26)^(4-0.5*Assumptions!$B$32)</f>
        <v>0.714432583137052</v>
      </c>
      <c r="F14" s="21">
        <f>1/(1+Assumptions!$B$26)^(5-0.5*Assumptions!$B$32)</f>
        <v>0.6489868498779869</v>
      </c>
    </row>
    <row r="15" spans="1:6" x14ac:dyDescent="0.25">
      <c r="A15" s="19" t="s">
        <v>51</v>
      </c>
      <c r="B15" s="20">
        <f>B13*B14</f>
        <v>5088255538.000283</v>
      </c>
      <c r="C15" s="20">
        <f>C13*C14</f>
        <v>5135554887.294708</v>
      </c>
      <c r="D15" s="20">
        <f>D13*D14</f>
        <v>5183293921.354759</v>
      </c>
      <c r="E15" s="20">
        <f>E13*E14</f>
        <v>5231476727.397198</v>
      </c>
      <c r="F15" s="20">
        <f>F13*F14</f>
        <v>5280107430.632684</v>
      </c>
    </row>
    <row r="17" spans="1:2" x14ac:dyDescent="0.25">
      <c r="A17" s="22" t="s">
        <v>52</v>
      </c>
      <c r="B17" s="23">
        <f>SUM(B15:F15)</f>
        <v>25918688504.67963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8135923604.038159</v>
      </c>
    </row>
    <row r="5" spans="1:2" x14ac:dyDescent="0.25">
      <c r="A5" t="s">
        <v>56</v>
      </c>
      <c r="B5" s="18">
        <f>IF(Assumptions!$B$33=0,B4,B4-Forecast!F11-Forecast!F10-Forecast!F12)</f>
        <v>8680520201.01757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0.2479102981813153</v>
      </c>
    </row>
    <row r="7" spans="1:2" x14ac:dyDescent="0.25">
      <c r="A7" t="s">
        <v>58</v>
      </c>
      <c r="B7" s="18">
        <f>-MAX(Forecast!F9,0)*B6</f>
        <v>-2151990351.403197</v>
      </c>
    </row>
    <row r="8" spans="1:2" x14ac:dyDescent="0.25">
      <c r="A8" t="s">
        <v>59</v>
      </c>
      <c r="B8" s="18">
        <f>IF(OR(Assumptions!$B$33=0,Assumptions!B12&lt;=0),B5,MAX(B5+B7,0))</f>
        <v>6528529849.614374</v>
      </c>
    </row>
    <row r="9" spans="1:2" x14ac:dyDescent="0.25">
      <c r="A9" t="s">
        <v>60</v>
      </c>
      <c r="B9" s="18">
        <f>B8*(1+Assumptions!B12)/(Assumptions!B26-Assumptions!B12)</f>
        <v>88231604407.53105</v>
      </c>
    </row>
    <row r="10" spans="1:2" x14ac:dyDescent="0.25">
      <c r="A10" t="s">
        <v>61</v>
      </c>
      <c r="B10" s="18">
        <f>B9/(1+Assumptions!B26)^(5-0.5*Assumptions!B32)</f>
        <v>57261151004.12428</v>
      </c>
    </row>
    <row r="11" spans="1:2" x14ac:dyDescent="0.25">
      <c r="A11" t="s">
        <v>62</v>
      </c>
      <c r="B11" s="18">
        <f>Forecast!B17+B10</f>
        <v>83179839508.80391</v>
      </c>
    </row>
    <row r="12" spans="1:2" x14ac:dyDescent="0.25">
      <c r="A12" t="s">
        <v>63</v>
      </c>
      <c r="B12" s="18">
        <f>-Assumptions!B30</f>
        <v>-11781000000</v>
      </c>
    </row>
    <row r="13" spans="1:2" x14ac:dyDescent="0.25">
      <c r="A13" t="s">
        <v>64</v>
      </c>
      <c r="B13" s="18">
        <f>B11+B12</f>
        <v>71398839508.80391</v>
      </c>
    </row>
    <row r="14" spans="1:2" x14ac:dyDescent="0.25">
      <c r="A14" s="19" t="s">
        <v>65</v>
      </c>
      <c r="B14" s="24">
        <f>B13/Assumptions!B31</f>
        <v>234.017828609649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11193602361.53684</v>
      </c>
    </row>
    <row r="18" spans="1:2" x14ac:dyDescent="0.25">
      <c r="A18" t="s">
        <v>60</v>
      </c>
      <c r="B18" s="18">
        <f>B17*Assumptions!B13</f>
        <v>199752147072.21143</v>
      </c>
    </row>
    <row r="19" spans="1:2" x14ac:dyDescent="0.25">
      <c r="A19" t="s">
        <v>61</v>
      </c>
      <c r="B19" s="18">
        <f>B18/(1+Assumptions!B26)^(5-0.5*Assumptions!B32)</f>
        <v>129636516684.75885</v>
      </c>
    </row>
    <row r="20" spans="1:2" x14ac:dyDescent="0.25">
      <c r="A20" t="s">
        <v>62</v>
      </c>
      <c r="B20" s="18">
        <f>Forecast!B17+B19</f>
        <v>155555205189.43848</v>
      </c>
    </row>
    <row r="21" spans="1:2" x14ac:dyDescent="0.25">
      <c r="A21" t="s">
        <v>63</v>
      </c>
      <c r="B21" s="18">
        <f>-Assumptions!B30</f>
        <v>-11781000000</v>
      </c>
    </row>
    <row r="22" spans="1:2" x14ac:dyDescent="0.25">
      <c r="A22" t="s">
        <v>64</v>
      </c>
      <c r="B22" s="18">
        <f>B20+B21</f>
        <v>143774205189.43848</v>
      </c>
    </row>
    <row r="23" spans="1:2" x14ac:dyDescent="0.25">
      <c r="A23" s="19" t="s">
        <v>65</v>
      </c>
      <c r="B23" s="25">
        <f>B22/Assumptions!B31</f>
        <v>471.23633297095535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405.32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234.017828609649</v>
      </c>
    </row>
    <row r="29" spans="1:2" x14ac:dyDescent="0.25">
      <c r="A29" s="19" t="s">
        <v>73</v>
      </c>
      <c r="B29" s="12">
        <f>B28/B26-1</f>
        <v>-0.42263439107458545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0.080843</v>
      </c>
      <c r="B5" s="31">
        <v>304.0617738309085</v>
      </c>
      <c r="C5" s="31">
        <v>306.16341828439744</v>
      </c>
      <c r="D5" s="31">
        <v>308.426732845956</v>
      </c>
      <c r="E5" s="31">
        <v>310.89941437889</v>
      </c>
      <c r="F5" s="31">
        <v>313.6499685344574</v>
      </c>
    </row>
    <row r="6" spans="1:6" x14ac:dyDescent="0.25">
      <c r="A6" s="30">
        <v>0.090843</v>
      </c>
      <c r="B6" s="31">
        <v>263.2753342433741</v>
      </c>
      <c r="C6" s="31">
        <v>264.3342269572384</v>
      </c>
      <c r="D6" s="31">
        <v>265.3931196711025</v>
      </c>
      <c r="E6" s="31">
        <v>266.4520123849666</v>
      </c>
      <c r="F6" s="31">
        <v>267.5109050988308</v>
      </c>
    </row>
    <row r="7" spans="1:6" x14ac:dyDescent="0.25">
      <c r="A7" s="30">
        <v>0.100843</v>
      </c>
      <c r="B7" s="31">
        <v>232.1865994296067</v>
      </c>
      <c r="C7" s="31">
        <v>233.1021104117826</v>
      </c>
      <c r="D7" s="32">
        <v>234.01762139395854</v>
      </c>
      <c r="E7" s="31">
        <v>234.93313237613438</v>
      </c>
      <c r="F7" s="31">
        <v>235.84864335831034</v>
      </c>
    </row>
    <row r="8" spans="1:6" x14ac:dyDescent="0.25">
      <c r="A8" s="30">
        <v>0.110843</v>
      </c>
      <c r="B8" s="31">
        <v>206.77129844134186</v>
      </c>
      <c r="C8" s="31">
        <v>207.5710004838632</v>
      </c>
      <c r="D8" s="31">
        <v>208.3707025263845</v>
      </c>
      <c r="E8" s="31">
        <v>209.17040456890584</v>
      </c>
      <c r="F8" s="31">
        <v>209.9701066114272</v>
      </c>
    </row>
    <row r="9" spans="1:6" x14ac:dyDescent="0.25">
      <c r="A9" s="30">
        <v>0.120843</v>
      </c>
      <c r="B9" s="31">
        <v>185.61800977085335</v>
      </c>
      <c r="C9" s="31">
        <v>186.3225414454406</v>
      </c>
      <c r="D9" s="31">
        <v>187.02707312002778</v>
      </c>
      <c r="E9" s="31">
        <v>187.7316047946151</v>
      </c>
      <c r="F9" s="31">
        <v>188.43613646920224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15336000000</v>
      </c>
      <c r="C5" s="18">
        <v>14208000000</v>
      </c>
      <c r="D5" s="18">
        <v>12497000000</v>
      </c>
      <c r="E5" s="18">
        <v>11181000000</v>
      </c>
      <c r="F5" s="8" t="s">
        <v>84</v>
      </c>
    </row>
    <row r="6" spans="1:6" x14ac:dyDescent="0.25">
      <c r="A6" t="s">
        <v>44</v>
      </c>
      <c r="B6" s="18">
        <v>6177000000</v>
      </c>
      <c r="C6" s="18">
        <v>5478000000</v>
      </c>
      <c r="D6" s="18">
        <v>4054000000</v>
      </c>
      <c r="E6" s="18">
        <v>3019000000</v>
      </c>
      <c r="F6" s="8" t="s">
        <v>85</v>
      </c>
    </row>
    <row r="7" spans="1:6" x14ac:dyDescent="0.25">
      <c r="A7" t="s">
        <v>86</v>
      </c>
      <c r="B7" s="18">
        <v>1179000000</v>
      </c>
      <c r="C7" s="18">
        <v>1173000000</v>
      </c>
      <c r="D7" s="18">
        <v>1143000000</v>
      </c>
      <c r="E7" s="18">
        <v>1013000000</v>
      </c>
      <c r="F7" s="8" t="s">
        <v>87</v>
      </c>
    </row>
    <row r="8" spans="1:6" x14ac:dyDescent="0.25">
      <c r="A8" t="s">
        <v>88</v>
      </c>
      <c r="B8" s="18">
        <v>195000000</v>
      </c>
      <c r="C8" s="18">
        <v>124000000</v>
      </c>
      <c r="D8" s="18">
        <v>143000000</v>
      </c>
      <c r="E8" s="18">
        <v>89000000</v>
      </c>
      <c r="F8" s="8" t="s">
        <v>89</v>
      </c>
    </row>
    <row r="9" spans="1:6" x14ac:dyDescent="0.25">
      <c r="A9" t="s">
        <v>90</v>
      </c>
      <c r="B9" s="18">
        <v>432000000</v>
      </c>
      <c r="C9" s="18">
        <v>-235000000</v>
      </c>
      <c r="D9" s="18">
        <v>460000000</v>
      </c>
      <c r="E9" s="18">
        <v>238000000</v>
      </c>
      <c r="F9" s="8" t="s">
        <v>91</v>
      </c>
    </row>
    <row r="10" spans="1:6" x14ac:dyDescent="0.25">
      <c r="A10" t="s">
        <v>92</v>
      </c>
      <c r="B10" s="18">
        <v>13582000000</v>
      </c>
      <c r="C10" s="18">
        <v>11933000000</v>
      </c>
      <c r="D10" s="18">
        <v>12000000000</v>
      </c>
      <c r="E10" s="18">
        <v>11533000000</v>
      </c>
      <c r="F10" s="8" t="s">
        <v>93</v>
      </c>
    </row>
    <row r="11" spans="1:6" x14ac:dyDescent="0.25">
      <c r="A11" t="s">
        <v>94</v>
      </c>
      <c r="B11" s="18">
        <v>1801000000</v>
      </c>
      <c r="C11" s="18">
        <v>1686000000</v>
      </c>
      <c r="D11" s="18">
        <v>1316000000</v>
      </c>
      <c r="E11" s="18">
        <v>1300000000</v>
      </c>
      <c r="F11" s="8" t="s">
        <v>95</v>
      </c>
    </row>
    <row r="12" spans="1:6" x14ac:dyDescent="0.25">
      <c r="A12" t="s">
        <v>32</v>
      </c>
      <c r="B12" s="34">
        <v>305100000</v>
      </c>
      <c r="C12" s="34">
        <v>311900000</v>
      </c>
      <c r="D12" s="34">
        <v>318900000</v>
      </c>
      <c r="E12" s="34">
        <v>318500000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2026-09-19T01:04:55Z</dcterms:modified>
</cp:coreProperties>
</file>