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<sst xmlns="http://schemas.openxmlformats.org/spreadsheetml/2006/main" count="113" uniqueCount="101">
  <si>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Spark New Zealand Limited (SPK.AX)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</si>
  <si>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</si>
  <si>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</si>
  <si>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</si>
  <si>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</si>
  <si>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</si>
  <si>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</si>
  <si>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</si>
  <si>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</si>
  <si>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</si>
  <si>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</si>
  <si>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</si>
  <si>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</si>
  <si>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</si>
  <si>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</si>
  <si>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</si>
  <si>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</si>
  <si>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</si>
  <si>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</si>
  <si>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</si>
  <si>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</si>
  <si>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</si>
  <si>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</si>
  <si>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</si>
  <si>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</si>
  <si>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</si>
  <si>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</si>
  <si>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</si>
  <si>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</si>
  <si>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</si>
  <si>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2026-06-30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</si>
  <si>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</si>
  <si>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</si>
  <si>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</si>
  <si>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</si>
  <si>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</si>
  <si>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</si>
  <si>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</si>
  <si>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</si>
  <si>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</si>
  <si>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</si>
  <si>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</si>
  <si>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</si>
  <si>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</si>
  <si>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</si>
  <si>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</si>
  <si>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</si>
  <si>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</si>
  <si>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</si>
  <si>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</si>
  <si>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</si>
  <si>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</si>
  <si>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</si>
  <si>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</si>
  <si>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</si>
  <si>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</si>
  <si>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</si>
  <si>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</si>
  <si>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</si>
  <si>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</si>
  <si>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</si>
  <si>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</si>
  <si>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</si>
  <si>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</si>
  <si>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</si>
  <si>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</si>
  <si>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</si>
  <si>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</si>
  <si>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</si>
  <si>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</si>
  <si>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NZD to AUD</t>
  </si>
  <si>
    <t>NZD/AUD at 0.8033</t>
  </si>
  <si>
    <t>Value per share (AUD)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</si>
  <si>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</si>
  <si>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</si>
  <si>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</si>
  <si>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</si>
  <si>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</si>
  <si>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</si>
  <si>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</si>
  <si>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</si>
  <si>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</si>
  <si>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</si>
  <si>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</si>
  <si>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</si>
  <si>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</si>
  <si>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</si>
  <si>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</si>
  <si>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</si>
  <si>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</si>
  <si>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</si>
  <si>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</si>
  <si>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</si>
  <si>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</si>
  <si>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</si>
  <si>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</si>
  <si>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</si>
  <si>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</si>
  <si>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</si>
  <si>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Reports in NZD, trades in AUD. Modelled in NZD, converted at the end.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</si>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</sst>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-0.02090718230339017</v>
      </c>
    </row>
    <row r="7" spans="1:2" x14ac:dyDescent="0.25">
      <c r="A7" t="s">
        <v>5</v>
      </c>
      <c r="B7" s="6">
        <v>0.13113856676485355</v>
      </c>
    </row>
    <row r="8" spans="1:2" x14ac:dyDescent="0.25">
      <c r="A8" t="s">
        <v>6</v>
      </c>
      <c r="B8" s="6">
        <v>0.21354266033397262</v>
      </c>
    </row>
    <row r="9" spans="1:2" x14ac:dyDescent="0.25">
      <c r="A9" t="s">
        <v>7</v>
      </c>
      <c r="B9" s="6">
        <v>0.14397208944268738</v>
      </c>
    </row>
    <row r="10" spans="1:2" x14ac:dyDescent="0.25">
      <c r="A10" t="s">
        <v>8</v>
      </c>
      <c r="B10" s="6">
        <v>0.12640973528816765</v>
      </c>
    </row>
    <row r="11" spans="1:2" x14ac:dyDescent="0.25">
      <c r="A11" t="s">
        <v>9</v>
      </c>
      <c r="B11" s="6">
        <v>-0.1896551724137931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4.850669509664293</v>
      </c>
    </row>
    <row r="14" spans="1:3" x14ac:dyDescent="0.25">
      <c r="A14" t="s">
        <v>12</v>
      </c>
      <c r="B14" s="6">
        <v>0.12887368883183054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0.4372</v>
      </c>
      <c r="C19" s="8" t="s">
        <v>19</v>
      </c>
    </row>
    <row r="20" spans="1:2" x14ac:dyDescent="0.25">
      <c r="A20" t="s">
        <v>20</v>
      </c>
      <c r="B20" s="10">
        <f>B17+B19*B18</f>
        <v>0.079712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3024208128</v>
      </c>
    </row>
    <row r="23" spans="1:2" x14ac:dyDescent="0.25">
      <c r="A23" t="s">
        <v>24</v>
      </c>
      <c r="B23" s="11">
        <v>1901000000</v>
      </c>
    </row>
    <row r="24" spans="1:2" x14ac:dyDescent="0.25">
      <c r="A24" t="s">
        <v>25</v>
      </c>
      <c r="B24" s="10">
        <f>B22/(B22+B23)</f>
        <v>0.614026463329998</v>
      </c>
    </row>
    <row r="25" spans="1:2" x14ac:dyDescent="0.25">
      <c r="A25" t="s">
        <v>26</v>
      </c>
      <c r="B25" s="10">
        <f>1-B24</f>
        <v>0.385973536670002</v>
      </c>
    </row>
    <row r="26" spans="1:2" x14ac:dyDescent="0.25">
      <c r="A26" t="s">
        <v>27</v>
      </c>
      <c r="B26" s="12">
        <f>B24*B20+B25*B21*(1-B8)</f>
        <v>0.06517922347500149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3637000000</v>
      </c>
      <c r="C29" s="8" t="s">
        <v>30</v>
      </c>
    </row>
    <row r="30" spans="1:2" x14ac:dyDescent="0.25">
      <c r="A30" t="s">
        <v>31</v>
      </c>
      <c r="B30" s="11">
        <v>1744000000</v>
      </c>
    </row>
    <row r="31" spans="1:2" x14ac:dyDescent="0.25">
      <c r="A31" t="s">
        <v>32</v>
      </c>
      <c r="B31" s="13">
        <v>1890000000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-0.02090718230339017</v>
      </c>
      <c r="C5" s="10">
        <f>Assumptions!B6</f>
        <v>-0.02090718230339017</v>
      </c>
      <c r="D5" s="10">
        <f>Assumptions!B6</f>
        <v>-0.02090718230339017</v>
      </c>
      <c r="E5" s="10">
        <f>Assumptions!B6</f>
        <v>-0.02090718230339017</v>
      </c>
      <c r="F5" s="10">
        <f>Assumptions!B6</f>
        <v>-0.02090718230339017</v>
      </c>
    </row>
    <row r="6" spans="1:6" x14ac:dyDescent="0.25">
      <c r="A6" t="s">
        <v>43</v>
      </c>
      <c r="B6" s="18">
        <f>Assumptions!B29*(1+B5)</f>
        <v>3560960577.9625697</v>
      </c>
      <c r="C6" s="18">
        <f>B6*(1+C5)</f>
        <v>3486510925.9839206</v>
      </c>
      <c r="D6" s="18">
        <f>C6*(1+D5)</f>
        <v>3413617806.451613</v>
      </c>
      <c r="E6" s="18">
        <f>D6*(1+E5)</f>
        <v>3342248676.65803</v>
      </c>
      <c r="F6" s="18">
        <f>E6*(1+F5)</f>
        <v>3272371674.271876</v>
      </c>
    </row>
    <row r="7" spans="1:6" x14ac:dyDescent="0.25">
      <c r="A7" t="s">
        <v>5</v>
      </c>
      <c r="B7" s="10">
        <f>Assumptions!B7</f>
        <v>0.13113856676485355</v>
      </c>
      <c r="C7" s="10">
        <f>Assumptions!B7</f>
        <v>0.13113856676485355</v>
      </c>
      <c r="D7" s="10">
        <f>Assumptions!B7</f>
        <v>0.13113856676485355</v>
      </c>
      <c r="E7" s="10">
        <f>Assumptions!B7</f>
        <v>0.13113856676485355</v>
      </c>
      <c r="F7" s="10">
        <f>Assumptions!B7</f>
        <v>0.13113856676485355</v>
      </c>
    </row>
    <row r="8" spans="1:6" x14ac:dyDescent="0.25">
      <c r="A8" t="s">
        <v>44</v>
      </c>
      <c r="B8" s="18">
        <f>B6*B7</f>
        <v>466979266.5001559</v>
      </c>
      <c r="C8" s="18">
        <f>C6*C7</f>
        <v>457216045.84353375</v>
      </c>
      <c r="D8" s="18">
        <f>D6*D7</f>
        <v>447656946.6210478</v>
      </c>
      <c r="E8" s="18">
        <f>E6*E7</f>
        <v>438297701.2286625</v>
      </c>
      <c r="F8" s="18">
        <f>F6*F7</f>
        <v>429134131.285918</v>
      </c>
    </row>
    <row r="9" spans="1:6" x14ac:dyDescent="0.25">
      <c r="A9" t="s">
        <v>45</v>
      </c>
      <c r="B9" s="18">
        <f>B8*(1-Assumptions!B8)</f>
        <v>367259271.61090547</v>
      </c>
      <c r="C9" s="18">
        <f>C8*(1-Assumptions!B8)</f>
        <v>359580915.06672597</v>
      </c>
      <c r="D9" s="18">
        <f>D8*(1-Assumptions!B8)</f>
        <v>352063091.3226061</v>
      </c>
      <c r="E9" s="18">
        <f>E8*(1-Assumptions!B8)</f>
        <v>344702444.0900292</v>
      </c>
      <c r="F9" s="18">
        <f>F8*(1-Assumptions!B8)</f>
        <v>337495687.25101477</v>
      </c>
    </row>
    <row r="10" spans="1:6" x14ac:dyDescent="0.25">
      <c r="A10" t="s">
        <v>46</v>
      </c>
      <c r="B10" s="18">
        <f>B6*Assumptions!B9</f>
        <v>512678934.83231086</v>
      </c>
      <c r="C10" s="18">
        <f>C6*Assumptions!B9</f>
        <v>501960262.87866384</v>
      </c>
      <c r="D10" s="18">
        <f>D6*Assumptions!B9</f>
        <v>491465688.15360194</v>
      </c>
      <c r="E10" s="18">
        <f>E6*Assumptions!B9</f>
        <v>481190525.41551346</v>
      </c>
      <c r="F10" s="18">
        <f>F6*Assumptions!B9</f>
        <v>471130187.3779872</v>
      </c>
    </row>
    <row r="11" spans="1:6" x14ac:dyDescent="0.25">
      <c r="A11" t="s">
        <v>47</v>
      </c>
      <c r="B11" s="18">
        <f>-B6*Assumptions!B10</f>
        <v>-450140084.0318489</v>
      </c>
      <c r="C11" s="18">
        <f>-C6*Assumptions!B10</f>
        <v>-440728923.2329317</v>
      </c>
      <c r="D11" s="18">
        <f>-D6*Assumptions!B10</f>
        <v>-431514523.2885239</v>
      </c>
      <c r="E11" s="18">
        <f>-E6*Assumptions!B10</f>
        <v>-422492770.4835702</v>
      </c>
      <c r="F11" s="18">
        <f>-F6*Assumptions!B10</f>
        <v>-413659637.1092058</v>
      </c>
    </row>
    <row r="12" spans="1:6" x14ac:dyDescent="0.25">
      <c r="A12" t="s">
        <v>48</v>
      </c>
      <c r="B12" s="18">
        <f>-(B6-Assumptions!B29)*Assumptions!B11</f>
        <v>-14421269.69675402</v>
      </c>
      <c r="C12" s="18">
        <f>-(C6-B6)*Assumptions!B11</f>
        <v>-14119761.582157595</v>
      </c>
      <c r="D12" s="18">
        <f>-(D6-C6)*Assumptions!B11</f>
        <v>-13824557.152679032</v>
      </c>
      <c r="E12" s="18">
        <f>-(E6-D6)*Assumptions!B11</f>
        <v>-13535524.616024345</v>
      </c>
      <c r="F12" s="18">
        <f>-(F6-E6)*Assumptions!B11</f>
        <v>-13252534.935305102</v>
      </c>
    </row>
    <row r="13" spans="1:6" x14ac:dyDescent="0.25">
      <c r="A13" s="19" t="s">
        <v>49</v>
      </c>
      <c r="B13" s="20">
        <f>B9+B10+B11+B12</f>
        <v>415376852.7146134</v>
      </c>
      <c r="C13" s="20">
        <f>C9+C10+C11+C12</f>
        <v>406692493.13030046</v>
      </c>
      <c r="D13" s="20">
        <f>D9+D10+D11+D12</f>
        <v>398189699.03500503</v>
      </c>
      <c r="E13" s="20">
        <f>E9+E10+E11+E12</f>
        <v>389864674.40594804</v>
      </c>
      <c r="F13" s="20">
        <f>F9+F10+F11+F12</f>
        <v>381713702.5844911</v>
      </c>
    </row>
    <row r="14" spans="1:6" x14ac:dyDescent="0.25">
      <c r="A14" t="s">
        <v>50</v>
      </c>
      <c r="B14" s="21">
        <f>1/(1+Assumptions!$B$26)^(1-0.5*Assumptions!$B$32)</f>
        <v>0.9689216421861577</v>
      </c>
      <c r="C14" s="21">
        <f>1/(1+Assumptions!$B$26)^(2-0.5*Assumptions!$B$32)</f>
        <v>0.9096325020546151</v>
      </c>
      <c r="D14" s="21">
        <f>1/(1+Assumptions!$B$26)^(3-0.5*Assumptions!$B$32)</f>
        <v>0.8539713148807611</v>
      </c>
      <c r="E14" s="21">
        <f>1/(1+Assumptions!$B$26)^(4-0.5*Assumptions!$B$32)</f>
        <v>0.8017160831346264</v>
      </c>
      <c r="F14" s="21">
        <f>1/(1+Assumptions!$B$26)^(5-0.5*Assumptions!$B$32)</f>
        <v>0.7526583935040879</v>
      </c>
    </row>
    <row r="15" spans="1:6" x14ac:dyDescent="0.25">
      <c r="A15" s="19" t="s">
        <v>51</v>
      </c>
      <c r="B15" s="20">
        <f>B13*B14</f>
        <v>402467622.258361</v>
      </c>
      <c r="C15" s="20">
        <f>C13*C14</f>
        <v>369940710.09294456</v>
      </c>
      <c r="D15" s="20">
        <f>D13*D14</f>
        <v>340042580.8568978</v>
      </c>
      <c r="E15" s="20">
        <f>E13*E14</f>
        <v>312560779.7172931</v>
      </c>
      <c r="F15" s="20">
        <f>F13*F14</f>
        <v>287300022.16574025</v>
      </c>
    </row>
    <row r="17" spans="1:2" x14ac:dyDescent="0.25">
      <c r="A17" s="22" t="s">
        <v>52</v>
      </c>
      <c r="B17" s="23">
        <f>SUM(B15:F15)</f>
        <v>1712311715.0912366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381713702.5844911</v>
      </c>
    </row>
    <row r="5" spans="1:2" x14ac:dyDescent="0.25">
      <c r="A5" t="s">
        <v>56</v>
      </c>
      <c r="B5" s="18">
        <f>IF(Assumptions!$B$33=0,B4,B4-Forecast!F11-Forecast!F10-Forecast!F12)</f>
        <v>337495687.25101477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0.19398839457930722</v>
      </c>
    </row>
    <row r="7" spans="1:2" x14ac:dyDescent="0.25">
      <c r="A7" t="s">
        <v>58</v>
      </c>
      <c r="B7" s="18">
        <f>-MAX(Forecast!F9,0)*B6</f>
        <v>-65470246.547264315</v>
      </c>
    </row>
    <row r="8" spans="1:2" x14ac:dyDescent="0.25">
      <c r="A8" t="s">
        <v>59</v>
      </c>
      <c r="B8" s="18">
        <f>IF(OR(Assumptions!$B$33=0,Assumptions!B12&lt;=0),B5,MAX(B5+B7,0))</f>
        <v>272025440.70375043</v>
      </c>
    </row>
    <row r="9" spans="1:2" x14ac:dyDescent="0.25">
      <c r="A9" t="s">
        <v>60</v>
      </c>
      <c r="B9" s="18">
        <f>B8*(1+Assumptions!B12)/(Assumptions!B26-Assumptions!B12)</f>
        <v>6939558622.749959</v>
      </c>
    </row>
    <row r="10" spans="1:2" x14ac:dyDescent="0.25">
      <c r="A10" t="s">
        <v>61</v>
      </c>
      <c r="B10" s="18">
        <f>B9/(1+Assumptions!B26)^(5-0.5*Assumptions!B32)</f>
        <v>5223117044.626425</v>
      </c>
    </row>
    <row r="11" spans="1:2" x14ac:dyDescent="0.25">
      <c r="A11" t="s">
        <v>62</v>
      </c>
      <c r="B11" s="18">
        <f>Forecast!B17+B10</f>
        <v>6935428759.717661</v>
      </c>
    </row>
    <row r="12" spans="1:2" x14ac:dyDescent="0.25">
      <c r="A12" t="s">
        <v>63</v>
      </c>
      <c r="B12" s="18">
        <f>-Assumptions!B30</f>
        <v>-1744000000</v>
      </c>
    </row>
    <row r="13" spans="1:2" x14ac:dyDescent="0.25">
      <c r="A13" t="s">
        <v>64</v>
      </c>
      <c r="B13" s="18">
        <f>B11+B12</f>
        <v>5191428759.717661</v>
      </c>
    </row>
    <row r="14" spans="1:2" x14ac:dyDescent="0.25">
      <c r="A14" s="19" t="s">
        <v>65</v>
      </c>
      <c r="B14" s="24">
        <f>B13/Assumptions!B31</f>
        <v>2.746787703554318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900264318.6639051</v>
      </c>
    </row>
    <row r="18" spans="1:2" x14ac:dyDescent="0.25">
      <c r="A18" t="s">
        <v>60</v>
      </c>
      <c r="B18" s="18">
        <f>B17*Assumptions!B13</f>
        <v>4366884681.181704</v>
      </c>
    </row>
    <row r="19" spans="1:2" x14ac:dyDescent="0.25">
      <c r="A19" t="s">
        <v>61</v>
      </c>
      <c r="B19" s="18">
        <f>B18/(1+Assumptions!B26)^(5-0.5*Assumptions!B32)</f>
        <v>3286772408.755832</v>
      </c>
    </row>
    <row r="20" spans="1:2" x14ac:dyDescent="0.25">
      <c r="A20" t="s">
        <v>62</v>
      </c>
      <c r="B20" s="18">
        <f>Forecast!B17+B19</f>
        <v>4999084123.847069</v>
      </c>
    </row>
    <row r="21" spans="1:2" x14ac:dyDescent="0.25">
      <c r="A21" t="s">
        <v>63</v>
      </c>
      <c r="B21" s="18">
        <f>-Assumptions!B30</f>
        <v>-1744000000</v>
      </c>
    </row>
    <row r="22" spans="1:2" x14ac:dyDescent="0.25">
      <c r="A22" t="s">
        <v>64</v>
      </c>
      <c r="B22" s="18">
        <f>B20+B21</f>
        <v>3255084123.847069</v>
      </c>
    </row>
    <row r="23" spans="1:2" x14ac:dyDescent="0.25">
      <c r="A23" s="19" t="s">
        <v>65</v>
      </c>
      <c r="B23" s="25">
        <f>B22/Assumptions!B31</f>
        <v>1.7222667321942162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1.6</v>
      </c>
    </row>
    <row r="27" spans="1:3" x14ac:dyDescent="0.25">
      <c r="A27" t="s">
        <v>70</v>
      </c>
      <c r="B27" s="27">
        <v>0.8033</v>
      </c>
      <c r="C27" s="8" t="s">
        <v>71</v>
      </c>
    </row>
    <row r="28" spans="1:2" x14ac:dyDescent="0.25">
      <c r="A28" t="s">
        <v>72</v>
      </c>
      <c r="B28" s="28">
        <f>B14*B27</f>
        <v>2.2064945622651835</v>
      </c>
    </row>
    <row r="29" spans="1:2" x14ac:dyDescent="0.25">
      <c r="A29" s="19" t="s">
        <v>73</v>
      </c>
      <c r="B29" s="12">
        <f>B28/B26-1</f>
        <v>0.3790591014157396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0.045179</v>
      </c>
      <c r="B5" s="31">
        <v>4.374310442431687</v>
      </c>
      <c r="C5" s="31">
        <v>5.033720663737733</v>
      </c>
      <c r="D5" s="31">
        <v>6.017097113927889</v>
      </c>
      <c r="E5" s="31">
        <v>7.644585615076186</v>
      </c>
      <c r="F5" s="31">
        <v>10.865363961108553</v>
      </c>
    </row>
    <row r="6" spans="1:6" x14ac:dyDescent="0.25">
      <c r="A6" s="30">
        <v>0.055179</v>
      </c>
      <c r="B6" s="31">
        <v>3.13361267751514</v>
      </c>
      <c r="C6" s="31">
        <v>3.4383653368104605</v>
      </c>
      <c r="D6" s="31">
        <v>3.842296924354848</v>
      </c>
      <c r="E6" s="31">
        <v>4.404491753414756</v>
      </c>
      <c r="F6" s="31">
        <v>5.242594336737731</v>
      </c>
    </row>
    <row r="7" spans="1:6" x14ac:dyDescent="0.25">
      <c r="A7" s="30">
        <v>0.065179</v>
      </c>
      <c r="B7" s="31">
        <v>2.3854272387723445</v>
      </c>
      <c r="C7" s="31">
        <v>2.546696712172935</v>
      </c>
      <c r="D7" s="32">
        <v>2.7468061267448447</v>
      </c>
      <c r="E7" s="31">
        <v>3.002316473919605</v>
      </c>
      <c r="F7" s="31">
        <v>3.3407639208678543</v>
      </c>
    </row>
    <row r="8" spans="1:6" x14ac:dyDescent="0.25">
      <c r="A8" s="30">
        <v>0.075179</v>
      </c>
      <c r="B8" s="31">
        <v>1.8843214013464449</v>
      </c>
      <c r="C8" s="31">
        <v>1.976245615436117</v>
      </c>
      <c r="D8" s="31">
        <v>2.0854927055291728</v>
      </c>
      <c r="E8" s="31">
        <v>2.2178140857793283</v>
      </c>
      <c r="F8" s="31">
        <v>2.381824065959263</v>
      </c>
    </row>
    <row r="9" spans="1:6" x14ac:dyDescent="0.25">
      <c r="A9" s="30">
        <v>0.085179</v>
      </c>
      <c r="B9" s="31">
        <v>1.5247468807523414</v>
      </c>
      <c r="C9" s="31">
        <v>1.5792557554126982</v>
      </c>
      <c r="D9" s="31">
        <v>1.6420255069704894</v>
      </c>
      <c r="E9" s="31">
        <v>1.715301793256802</v>
      </c>
      <c r="F9" s="31">
        <v>1.802225330924575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3637000000</v>
      </c>
      <c r="C5" s="18">
        <v>3623000000</v>
      </c>
      <c r="D5" s="18">
        <v>3759000000</v>
      </c>
      <c r="E5" s="18">
        <v>3875000000</v>
      </c>
      <c r="F5" s="8" t="s">
        <v>84</v>
      </c>
    </row>
    <row r="6" spans="1:6" x14ac:dyDescent="0.25">
      <c r="A6" t="s">
        <v>44</v>
      </c>
      <c r="B6" s="18">
        <v>417000000</v>
      </c>
      <c r="C6" s="18">
        <v>361000000</v>
      </c>
      <c r="D6" s="18">
        <v>559000000</v>
      </c>
      <c r="E6" s="18">
        <v>626000000</v>
      </c>
      <c r="F6" s="8" t="s">
        <v>85</v>
      </c>
    </row>
    <row r="7" spans="1:6" x14ac:dyDescent="0.25">
      <c r="A7" t="s">
        <v>86</v>
      </c>
      <c r="B7" s="18">
        <v>566000000</v>
      </c>
      <c r="C7" s="18">
        <v>590000000</v>
      </c>
      <c r="D7" s="18">
        <v>502000000</v>
      </c>
      <c r="E7" s="18">
        <v>480000000</v>
      </c>
      <c r="F7" s="8" t="s">
        <v>87</v>
      </c>
    </row>
    <row r="8" spans="1:6" x14ac:dyDescent="0.25">
      <c r="A8" t="s">
        <v>88</v>
      </c>
      <c r="B8" s="18">
        <v>375000000</v>
      </c>
      <c r="C8" s="18">
        <v>440000000</v>
      </c>
      <c r="D8" s="18">
        <v>590000000</v>
      </c>
      <c r="E8" s="18">
        <v>481000000</v>
      </c>
      <c r="F8" s="8" t="s">
        <v>89</v>
      </c>
    </row>
    <row r="9" spans="1:6" x14ac:dyDescent="0.25">
      <c r="A9" t="s">
        <v>90</v>
      </c>
      <c r="B9" s="18">
        <v>-51000000</v>
      </c>
      <c r="C9" s="18">
        <v>-37000000</v>
      </c>
      <c r="D9" s="18">
        <v>22000000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1901000000</v>
      </c>
      <c r="C10" s="18">
        <v>2349000000</v>
      </c>
      <c r="D10" s="18">
        <v>2361000000</v>
      </c>
      <c r="E10" s="18">
        <v>1830000000</v>
      </c>
      <c r="F10" s="8" t="s">
        <v>93</v>
      </c>
    </row>
    <row r="11" spans="1:6" x14ac:dyDescent="0.25">
      <c r="A11" t="s">
        <v>94</v>
      </c>
      <c r="B11" s="18">
        <v>157000000</v>
      </c>
      <c r="C11" s="18">
        <v>34000000</v>
      </c>
      <c r="D11" s="18">
        <v>59000000</v>
      </c>
      <c r="E11" s="18">
        <v>100000000</v>
      </c>
      <c r="F11" s="8" t="s">
        <v>95</v>
      </c>
    </row>
    <row r="12" spans="1:6" x14ac:dyDescent="0.25">
      <c r="A12" t="s">
        <v>32</v>
      </c>
      <c r="B12" s="34">
        <v>1890000000</v>
      </c>
      <c r="C12" s="34">
        <v>1847000000</v>
      </c>
      <c r="D12" s="34">
        <v>1825000000</v>
      </c>
      <c r="E12" s="34">
        <v>1872937294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2026-09-19T00:06:54Z</dcterms:modified>
</cp:coreProperties>
</file>