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<sst xmlns="http://schemas.openxmlformats.org/spreadsheetml/2006/main" count="113" uniqueCount="101">
  <si>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Spark New Zealand Limited (SPK.NZ)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</si>
  <si>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</si>
  <si>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</si>
  <si>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</si>
  <si>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</si>
  <si>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</si>
  <si>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</si>
  <si>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</si>
  <si>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</si>
  <si>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</si>
  <si>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</si>
  <si>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</si>
  <si>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</si>
  <si>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</si>
  <si>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</si>
  <si>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</si>
  <si>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</si>
  <si>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</si>
  <si>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</si>
  <si>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</si>
  <si>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</si>
  <si>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</si>
  <si>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</si>
  <si>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</si>
  <si>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</si>
  <si>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</si>
  <si>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</si>
  <si>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</si>
  <si>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</si>
  <si>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</si>
  <si>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2026-06-30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</si>
  <si>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</si>
  <si>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</si>
  <si>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</si>
  <si>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</si>
  <si>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</si>
  <si>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</si>
  <si>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</si>
  <si>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</si>
  <si>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</si>
  <si>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</si>
  <si>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</si>
  <si>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</si>
  <si>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</si>
  <si>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</si>
  <si>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</si>
  <si>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</si>
  <si>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</si>
  <si>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</si>
  <si>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</si>
  <si>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</si>
  <si>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</si>
  <si>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</si>
  <si>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</si>
  <si>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</si>
  <si>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</si>
  <si>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</si>
  <si>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</si>
  <si>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</si>
  <si>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</si>
  <si>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</si>
  <si>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</si>
  <si>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</si>
  <si>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</si>
  <si>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</si>
  <si>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</si>
  <si>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</si>
  <si>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</si>
  <si>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</si>
  <si>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</si>
  <si>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</si>
  <si>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</si>
  <si>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</si>
  <si>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</si>
  <si>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</si>
  <si>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</si>
  <si>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</si>
  <si>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</si>
  <si>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</si>
  <si>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</si>
  <si>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</si>
  <si>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</si>
  <si>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</si>
  <si>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</si>
  <si>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</si>
  <si>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</si>
  <si>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</si>
  <si>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</si>
  <si>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</si>
  <si>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</si>
  <si>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</si>
  <si>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</si>
  <si>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</si>
  <si>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</si>
  <si>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</si>
  <si>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</si>
  <si>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</si>
  <si>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</si>
  <si>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</si>
  <si>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Note: Risk-free rate is an assumption: NZD assumption - no free live source available for this market.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</si>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</sst>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-0.02090718230339017</v>
      </c>
    </row>
    <row r="7" spans="1:2" x14ac:dyDescent="0.25">
      <c r="A7" t="s">
        <v>5</v>
      </c>
      <c r="B7" s="6">
        <v>0.13113856676485355</v>
      </c>
    </row>
    <row r="8" spans="1:2" x14ac:dyDescent="0.25">
      <c r="A8" t="s">
        <v>6</v>
      </c>
      <c r="B8" s="6">
        <v>0.21354266033397262</v>
      </c>
    </row>
    <row r="9" spans="1:2" x14ac:dyDescent="0.25">
      <c r="A9" t="s">
        <v>7</v>
      </c>
      <c r="B9" s="6">
        <v>0.14397208944268738</v>
      </c>
    </row>
    <row r="10" spans="1:2" x14ac:dyDescent="0.25">
      <c r="A10" t="s">
        <v>8</v>
      </c>
      <c r="B10" s="6">
        <v>0.12640973528816765</v>
      </c>
    </row>
    <row r="11" spans="1:2" x14ac:dyDescent="0.25">
      <c r="A11" t="s">
        <v>9</v>
      </c>
      <c r="B11" s="6">
        <v>-0.1896551724137931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5.562112260427264</v>
      </c>
    </row>
    <row r="14" spans="1:3" x14ac:dyDescent="0.25">
      <c r="A14" t="s">
        <v>12</v>
      </c>
      <c r="B14" s="6">
        <v>0.12887368883183054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0.4372</v>
      </c>
      <c r="C19" s="8" t="s">
        <v>19</v>
      </c>
    </row>
    <row r="20" spans="1:2" x14ac:dyDescent="0.25">
      <c r="A20" t="s">
        <v>20</v>
      </c>
      <c r="B20" s="10">
        <f>B17+B19*B18</f>
        <v>0.073418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3723556352</v>
      </c>
    </row>
    <row r="23" spans="1:2" x14ac:dyDescent="0.25">
      <c r="A23" t="s">
        <v>24</v>
      </c>
      <c r="B23" s="11">
        <v>1901000000</v>
      </c>
    </row>
    <row r="24" spans="1:2" x14ac:dyDescent="0.25">
      <c r="A24" t="s">
        <v>25</v>
      </c>
      <c r="B24" s="10">
        <f>B22/(B22+B23)</f>
        <v>0.6620177875319827</v>
      </c>
    </row>
    <row r="25" spans="1:2" x14ac:dyDescent="0.25">
      <c r="A25" t="s">
        <v>26</v>
      </c>
      <c r="B25" s="10">
        <f>1-B24</f>
        <v>0.3379822124680173</v>
      </c>
    </row>
    <row r="26" spans="1:2" x14ac:dyDescent="0.25">
      <c r="A26" t="s">
        <v>27</v>
      </c>
      <c r="B26" s="12">
        <f>B24*B20+B25*B21*(1-B8)</f>
        <v>0.060565408550264675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3637000000</v>
      </c>
      <c r="C29" s="8" t="s">
        <v>30</v>
      </c>
    </row>
    <row r="30" spans="1:2" x14ac:dyDescent="0.25">
      <c r="A30" t="s">
        <v>31</v>
      </c>
      <c r="B30" s="11">
        <v>1744000000</v>
      </c>
    </row>
    <row r="31" spans="1:2" x14ac:dyDescent="0.25">
      <c r="A31" t="s">
        <v>32</v>
      </c>
      <c r="B31" s="13">
        <v>1890000000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-0.02090718230339017</v>
      </c>
      <c r="C5" s="10">
        <f>Assumptions!B6</f>
        <v>-0.02090718230339017</v>
      </c>
      <c r="D5" s="10">
        <f>Assumptions!B6</f>
        <v>-0.02090718230339017</v>
      </c>
      <c r="E5" s="10">
        <f>Assumptions!B6</f>
        <v>-0.02090718230339017</v>
      </c>
      <c r="F5" s="10">
        <f>Assumptions!B6</f>
        <v>-0.02090718230339017</v>
      </c>
    </row>
    <row r="6" spans="1:6" x14ac:dyDescent="0.25">
      <c r="A6" t="s">
        <v>43</v>
      </c>
      <c r="B6" s="18">
        <f>Assumptions!B29*(1+B5)</f>
        <v>3560960577.9625697</v>
      </c>
      <c r="C6" s="18">
        <f>B6*(1+C5)</f>
        <v>3486510925.9839206</v>
      </c>
      <c r="D6" s="18">
        <f>C6*(1+D5)</f>
        <v>3413617806.451613</v>
      </c>
      <c r="E6" s="18">
        <f>D6*(1+E5)</f>
        <v>3342248676.65803</v>
      </c>
      <c r="F6" s="18">
        <f>E6*(1+F5)</f>
        <v>3272371674.271876</v>
      </c>
    </row>
    <row r="7" spans="1:6" x14ac:dyDescent="0.25">
      <c r="A7" t="s">
        <v>5</v>
      </c>
      <c r="B7" s="10">
        <f>Assumptions!B7</f>
        <v>0.13113856676485355</v>
      </c>
      <c r="C7" s="10">
        <f>Assumptions!B7</f>
        <v>0.13113856676485355</v>
      </c>
      <c r="D7" s="10">
        <f>Assumptions!B7</f>
        <v>0.13113856676485355</v>
      </c>
      <c r="E7" s="10">
        <f>Assumptions!B7</f>
        <v>0.13113856676485355</v>
      </c>
      <c r="F7" s="10">
        <f>Assumptions!B7</f>
        <v>0.13113856676485355</v>
      </c>
    </row>
    <row r="8" spans="1:6" x14ac:dyDescent="0.25">
      <c r="A8" t="s">
        <v>44</v>
      </c>
      <c r="B8" s="18">
        <f>B6*B7</f>
        <v>466979266.5001559</v>
      </c>
      <c r="C8" s="18">
        <f>C6*C7</f>
        <v>457216045.84353375</v>
      </c>
      <c r="D8" s="18">
        <f>D6*D7</f>
        <v>447656946.6210478</v>
      </c>
      <c r="E8" s="18">
        <f>E6*E7</f>
        <v>438297701.2286625</v>
      </c>
      <c r="F8" s="18">
        <f>F6*F7</f>
        <v>429134131.285918</v>
      </c>
    </row>
    <row r="9" spans="1:6" x14ac:dyDescent="0.25">
      <c r="A9" t="s">
        <v>45</v>
      </c>
      <c r="B9" s="18">
        <f>B8*(1-Assumptions!B8)</f>
        <v>367259271.61090547</v>
      </c>
      <c r="C9" s="18">
        <f>C8*(1-Assumptions!B8)</f>
        <v>359580915.06672597</v>
      </c>
      <c r="D9" s="18">
        <f>D8*(1-Assumptions!B8)</f>
        <v>352063091.3226061</v>
      </c>
      <c r="E9" s="18">
        <f>E8*(1-Assumptions!B8)</f>
        <v>344702444.0900292</v>
      </c>
      <c r="F9" s="18">
        <f>F8*(1-Assumptions!B8)</f>
        <v>337495687.25101477</v>
      </c>
    </row>
    <row r="10" spans="1:6" x14ac:dyDescent="0.25">
      <c r="A10" t="s">
        <v>46</v>
      </c>
      <c r="B10" s="18">
        <f>B6*Assumptions!B9</f>
        <v>512678934.83231086</v>
      </c>
      <c r="C10" s="18">
        <f>C6*Assumptions!B9</f>
        <v>501960262.87866384</v>
      </c>
      <c r="D10" s="18">
        <f>D6*Assumptions!B9</f>
        <v>491465688.15360194</v>
      </c>
      <c r="E10" s="18">
        <f>E6*Assumptions!B9</f>
        <v>481190525.41551346</v>
      </c>
      <c r="F10" s="18">
        <f>F6*Assumptions!B9</f>
        <v>471130187.3779872</v>
      </c>
    </row>
    <row r="11" spans="1:6" x14ac:dyDescent="0.25">
      <c r="A11" t="s">
        <v>47</v>
      </c>
      <c r="B11" s="18">
        <f>-B6*Assumptions!B10</f>
        <v>-450140084.0318489</v>
      </c>
      <c r="C11" s="18">
        <f>-C6*Assumptions!B10</f>
        <v>-440728923.2329317</v>
      </c>
      <c r="D11" s="18">
        <f>-D6*Assumptions!B10</f>
        <v>-431514523.2885239</v>
      </c>
      <c r="E11" s="18">
        <f>-E6*Assumptions!B10</f>
        <v>-422492770.4835702</v>
      </c>
      <c r="F11" s="18">
        <f>-F6*Assumptions!B10</f>
        <v>-413659637.1092058</v>
      </c>
    </row>
    <row r="12" spans="1:6" x14ac:dyDescent="0.25">
      <c r="A12" t="s">
        <v>48</v>
      </c>
      <c r="B12" s="18">
        <f>-(B6-Assumptions!B29)*Assumptions!B11</f>
        <v>-14421269.69675402</v>
      </c>
      <c r="C12" s="18">
        <f>-(C6-B6)*Assumptions!B11</f>
        <v>-14119761.582157595</v>
      </c>
      <c r="D12" s="18">
        <f>-(D6-C6)*Assumptions!B11</f>
        <v>-13824557.152679032</v>
      </c>
      <c r="E12" s="18">
        <f>-(E6-D6)*Assumptions!B11</f>
        <v>-13535524.616024345</v>
      </c>
      <c r="F12" s="18">
        <f>-(F6-E6)*Assumptions!B11</f>
        <v>-13252534.935305102</v>
      </c>
    </row>
    <row r="13" spans="1:6" x14ac:dyDescent="0.25">
      <c r="A13" s="19" t="s">
        <v>49</v>
      </c>
      <c r="B13" s="20">
        <f>B9+B10+B11+B12</f>
        <v>415376852.7146134</v>
      </c>
      <c r="C13" s="20">
        <f>C9+C10+C11+C12</f>
        <v>406692493.13030046</v>
      </c>
      <c r="D13" s="20">
        <f>D9+D10+D11+D12</f>
        <v>398189699.03500503</v>
      </c>
      <c r="E13" s="20">
        <f>E9+E10+E11+E12</f>
        <v>389864674.40594804</v>
      </c>
      <c r="F13" s="20">
        <f>F9+F10+F11+F12</f>
        <v>381713702.5844911</v>
      </c>
    </row>
    <row r="14" spans="1:6" x14ac:dyDescent="0.25">
      <c r="A14" t="s">
        <v>50</v>
      </c>
      <c r="B14" s="21">
        <f>1/(1+Assumptions!$B$26)^(1-0.5*Assumptions!$B$32)</f>
        <v>0.9710269219184057</v>
      </c>
      <c r="C14" s="21">
        <f>1/(1+Assumptions!$B$26)^(2-0.5*Assumptions!$B$32)</f>
        <v>0.9155747623767465</v>
      </c>
      <c r="D14" s="21">
        <f>1/(1+Assumptions!$B$26)^(3-0.5*Assumptions!$B$32)</f>
        <v>0.8632892936120625</v>
      </c>
      <c r="E14" s="21">
        <f>1/(1+Assumptions!$B$26)^(4-0.5*Assumptions!$B$32)</f>
        <v>0.8139896763106126</v>
      </c>
      <c r="F14" s="21">
        <f>1/(1+Assumptions!$B$26)^(5-0.5*Assumptions!$B$32)</f>
        <v>0.7675053982981513</v>
      </c>
    </row>
    <row r="15" spans="1:6" x14ac:dyDescent="0.25">
      <c r="A15" s="19" t="s">
        <v>51</v>
      </c>
      <c r="B15" s="20">
        <f>B13*B14</f>
        <v>403342106.72762597</v>
      </c>
      <c r="C15" s="20">
        <f>C13*C14</f>
        <v>372357382.75818145</v>
      </c>
      <c r="D15" s="20">
        <f>D13*D14</f>
        <v>343752904.00352925</v>
      </c>
      <c r="E15" s="20">
        <f>E13*E14</f>
        <v>317345820.12464</v>
      </c>
      <c r="F15" s="20">
        <f>F13*F14</f>
        <v>292967327.3379719</v>
      </c>
    </row>
    <row r="17" spans="1:2" x14ac:dyDescent="0.25">
      <c r="A17" s="22" t="s">
        <v>52</v>
      </c>
      <c r="B17" s="23">
        <f>SUM(B15:F15)</f>
        <v>1729765540.9519486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381713702.5844911</v>
      </c>
    </row>
    <row r="5" spans="1:2" x14ac:dyDescent="0.25">
      <c r="A5" t="s">
        <v>56</v>
      </c>
      <c r="B5" s="18">
        <f>IF(Assumptions!$B$33=0,B4,B4-Forecast!F11-Forecast!F10-Forecast!F12)</f>
        <v>337495687.25101477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0.19398839457930722</v>
      </c>
    </row>
    <row r="7" spans="1:2" x14ac:dyDescent="0.25">
      <c r="A7" t="s">
        <v>58</v>
      </c>
      <c r="B7" s="18">
        <f>-MAX(Forecast!F9,0)*B6</f>
        <v>-65470246.547264315</v>
      </c>
    </row>
    <row r="8" spans="1:2" x14ac:dyDescent="0.25">
      <c r="A8" t="s">
        <v>59</v>
      </c>
      <c r="B8" s="18">
        <f>IF(OR(Assumptions!$B$33=0,Assumptions!B12&lt;=0),B5,MAX(B5+B7,0))</f>
        <v>272025440.70375043</v>
      </c>
    </row>
    <row r="9" spans="1:2" x14ac:dyDescent="0.25">
      <c r="A9" t="s">
        <v>60</v>
      </c>
      <c r="B9" s="18">
        <f>B8*(1+Assumptions!B12)/(Assumptions!B26-Assumptions!B12)</f>
        <v>7839810874.863946</v>
      </c>
    </row>
    <row r="10" spans="1:2" x14ac:dyDescent="0.25">
      <c r="A10" t="s">
        <v>61</v>
      </c>
      <c r="B10" s="18">
        <f>B9/(1+Assumptions!B26)^(5-0.5*Assumptions!B32)</f>
        <v>6017097168.094631</v>
      </c>
    </row>
    <row r="11" spans="1:2" x14ac:dyDescent="0.25">
      <c r="A11" t="s">
        <v>62</v>
      </c>
      <c r="B11" s="18">
        <f>Forecast!B17+B10</f>
        <v>7746862709.046579</v>
      </c>
    </row>
    <row r="12" spans="1:2" x14ac:dyDescent="0.25">
      <c r="A12" t="s">
        <v>63</v>
      </c>
      <c r="B12" s="18">
        <f>-Assumptions!B30</f>
        <v>-1744000000</v>
      </c>
    </row>
    <row r="13" spans="1:2" x14ac:dyDescent="0.25">
      <c r="A13" t="s">
        <v>64</v>
      </c>
      <c r="B13" s="18">
        <f>B11+B12</f>
        <v>6002862709.046579</v>
      </c>
    </row>
    <row r="14" spans="1:2" x14ac:dyDescent="0.25">
      <c r="A14" s="19" t="s">
        <v>65</v>
      </c>
      <c r="B14" s="24">
        <f>B13/Assumptions!B31</f>
        <v>3.1761178354743804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900264318.6639051</v>
      </c>
    </row>
    <row r="18" spans="1:2" x14ac:dyDescent="0.25">
      <c r="A18" t="s">
        <v>60</v>
      </c>
      <c r="B18" s="18">
        <f>B17*Assumptions!B13</f>
        <v>5007371204.465704</v>
      </c>
    </row>
    <row r="19" spans="1:2" x14ac:dyDescent="0.25">
      <c r="A19" t="s">
        <v>61</v>
      </c>
      <c r="B19" s="18">
        <f>B18/(1+Assumptions!B26)^(5-0.5*Assumptions!B32)</f>
        <v>3843184430.710144</v>
      </c>
    </row>
    <row r="20" spans="1:2" x14ac:dyDescent="0.25">
      <c r="A20" t="s">
        <v>62</v>
      </c>
      <c r="B20" s="18">
        <f>Forecast!B17+B19</f>
        <v>5572949971.662092</v>
      </c>
    </row>
    <row r="21" spans="1:2" x14ac:dyDescent="0.25">
      <c r="A21" t="s">
        <v>63</v>
      </c>
      <c r="B21" s="18">
        <f>-Assumptions!B30</f>
        <v>-1744000000</v>
      </c>
    </row>
    <row r="22" spans="1:2" x14ac:dyDescent="0.25">
      <c r="A22" t="s">
        <v>64</v>
      </c>
      <c r="B22" s="18">
        <f>B20+B21</f>
        <v>3828949971.662092</v>
      </c>
    </row>
    <row r="23" spans="1:2" x14ac:dyDescent="0.25">
      <c r="A23" s="19" t="s">
        <v>65</v>
      </c>
      <c r="B23" s="25">
        <f>B22/Assumptions!B31</f>
        <v>2.025899455905869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1.97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3.1761178354743804</v>
      </c>
    </row>
    <row r="29" spans="1:2" x14ac:dyDescent="0.25">
      <c r="A29" s="19" t="s">
        <v>73</v>
      </c>
      <c r="B29" s="12">
        <f>B28/B26-1</f>
        <v>0.6122425560783658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0.040565</v>
      </c>
      <c r="B5" s="31">
        <v>5.272624806813325</v>
      </c>
      <c r="C5" s="31">
        <v>6.290926657450706</v>
      </c>
      <c r="D5" s="31">
        <v>7.9597321305133395</v>
      </c>
      <c r="E5" s="31">
        <v>11.202614755237269</v>
      </c>
      <c r="F5" s="31">
        <v>20.262370088661037</v>
      </c>
    </row>
    <row r="6" spans="1:6" x14ac:dyDescent="0.25">
      <c r="A6" s="30">
        <v>0.050565</v>
      </c>
      <c r="B6" s="31">
        <v>3.6197367219949164</v>
      </c>
      <c r="C6" s="31">
        <v>4.04523281888191</v>
      </c>
      <c r="D6" s="31">
        <v>4.6349953621358555</v>
      </c>
      <c r="E6" s="31">
        <v>5.508839411105375</v>
      </c>
      <c r="F6" s="31">
        <v>6.940534486235922</v>
      </c>
    </row>
    <row r="7" spans="1:6" x14ac:dyDescent="0.25">
      <c r="A7" s="30">
        <v>0.060565</v>
      </c>
      <c r="B7" s="31">
        <v>2.690099548997559</v>
      </c>
      <c r="C7" s="31">
        <v>2.903829859089687</v>
      </c>
      <c r="D7" s="32">
        <v>3.1761607514858317</v>
      </c>
      <c r="E7" s="31">
        <v>3.535850895728288</v>
      </c>
      <c r="F7" s="31">
        <v>4.034157431566503</v>
      </c>
    </row>
    <row r="8" spans="1:6" x14ac:dyDescent="0.25">
      <c r="A8" s="30">
        <v>0.070565</v>
      </c>
      <c r="B8" s="31">
        <v>2.0933258455679766</v>
      </c>
      <c r="C8" s="31">
        <v>2.2116759769349663</v>
      </c>
      <c r="D8" s="31">
        <v>2.354881298774583</v>
      </c>
      <c r="E8" s="31">
        <v>2.5321326864002627</v>
      </c>
      <c r="F8" s="31">
        <v>2.7577895096078957</v>
      </c>
    </row>
    <row r="9" spans="1:6" x14ac:dyDescent="0.25">
      <c r="A9" s="30">
        <v>0.080565</v>
      </c>
      <c r="B9" s="31">
        <v>1.677190689787918</v>
      </c>
      <c r="C9" s="31">
        <v>1.7463429398897934</v>
      </c>
      <c r="D9" s="31">
        <v>1.8270606836508958</v>
      </c>
      <c r="E9" s="31">
        <v>1.9227748002344496</v>
      </c>
      <c r="F9" s="31">
        <v>2.038422096231845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3637000000</v>
      </c>
      <c r="C5" s="18">
        <v>3623000000</v>
      </c>
      <c r="D5" s="18">
        <v>3759000000</v>
      </c>
      <c r="E5" s="18">
        <v>3875000000</v>
      </c>
      <c r="F5" s="8" t="s">
        <v>84</v>
      </c>
    </row>
    <row r="6" spans="1:6" x14ac:dyDescent="0.25">
      <c r="A6" t="s">
        <v>44</v>
      </c>
      <c r="B6" s="18">
        <v>417000000</v>
      </c>
      <c r="C6" s="18">
        <v>361000000</v>
      </c>
      <c r="D6" s="18">
        <v>559000000</v>
      </c>
      <c r="E6" s="18">
        <v>626000000</v>
      </c>
      <c r="F6" s="8" t="s">
        <v>85</v>
      </c>
    </row>
    <row r="7" spans="1:6" x14ac:dyDescent="0.25">
      <c r="A7" t="s">
        <v>86</v>
      </c>
      <c r="B7" s="18">
        <v>566000000</v>
      </c>
      <c r="C7" s="18">
        <v>590000000</v>
      </c>
      <c r="D7" s="18">
        <v>502000000</v>
      </c>
      <c r="E7" s="18">
        <v>480000000</v>
      </c>
      <c r="F7" s="8" t="s">
        <v>87</v>
      </c>
    </row>
    <row r="8" spans="1:6" x14ac:dyDescent="0.25">
      <c r="A8" t="s">
        <v>88</v>
      </c>
      <c r="B8" s="18">
        <v>375000000</v>
      </c>
      <c r="C8" s="18">
        <v>440000000</v>
      </c>
      <c r="D8" s="18">
        <v>590000000</v>
      </c>
      <c r="E8" s="18">
        <v>481000000</v>
      </c>
      <c r="F8" s="8" t="s">
        <v>89</v>
      </c>
    </row>
    <row r="9" spans="1:6" x14ac:dyDescent="0.25">
      <c r="A9" t="s">
        <v>90</v>
      </c>
      <c r="B9" s="18">
        <v>-51000000</v>
      </c>
      <c r="C9" s="18">
        <v>-37000000</v>
      </c>
      <c r="D9" s="18">
        <v>22000000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1901000000</v>
      </c>
      <c r="C10" s="18">
        <v>2349000000</v>
      </c>
      <c r="D10" s="18">
        <v>2361000000</v>
      </c>
      <c r="E10" s="18">
        <v>1830000000</v>
      </c>
      <c r="F10" s="8" t="s">
        <v>93</v>
      </c>
    </row>
    <row r="11" spans="1:6" x14ac:dyDescent="0.25">
      <c r="A11" t="s">
        <v>94</v>
      </c>
      <c r="B11" s="18">
        <v>157000000</v>
      </c>
      <c r="C11" s="18">
        <v>34000000</v>
      </c>
      <c r="D11" s="18">
        <v>59000000</v>
      </c>
      <c r="E11" s="18">
        <v>100000000</v>
      </c>
      <c r="F11" s="8" t="s">
        <v>95</v>
      </c>
    </row>
    <row r="12" spans="1:6" x14ac:dyDescent="0.25">
      <c r="A12" t="s">
        <v>32</v>
      </c>
      <c r="B12" s="34">
        <v>1890000000</v>
      </c>
      <c r="C12" s="34">
        <v>1847000000</v>
      </c>
      <c r="D12" s="34">
        <v>1825000000</v>
      </c>
      <c r="E12" s="34">
        <v>1872937294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2026-09-19T00:08:38Z</dcterms:modified>
</cp:coreProperties>
</file>