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<sst xmlns="http://schemas.openxmlformats.org/spreadsheetml/2006/main" count="120" uniqueCount="103">
  <si>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Saipem SpA (SPM.MI)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</si>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</sst>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0.15789604345440922</v>
      </c>
    </row>
    <row r="7" spans="1:2" x14ac:dyDescent="0.25">
      <c r="A7" t="s">
        <v>5</v>
      </c>
      <c r="B7" s="6">
        <v>0.03345889465120723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0.048247149832608464</v>
      </c>
    </row>
    <row r="10" spans="1:2" x14ac:dyDescent="0.25">
      <c r="A10" t="s">
        <v>8</v>
      </c>
      <c r="B10" s="6">
        <v>0.03489278556969507</v>
      </c>
    </row>
    <row r="11" spans="1:2" x14ac:dyDescent="0.25">
      <c r="A11" t="s">
        <v>9</v>
      </c>
      <c r="B11" s="6">
        <v>0.015753938484621154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0.08750321024851539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1.3711799999999998</v>
      </c>
      <c r="C19" s="8" t="s">
        <v>19</v>
      </c>
    </row>
    <row r="20" spans="1:2" x14ac:dyDescent="0.25">
      <c r="A20" t="s">
        <v>20</v>
      </c>
      <c r="B20" s="10">
        <f>B17+B19*B18</f>
        <v>0.13112669999999998</v>
      </c>
    </row>
    <row r="21" spans="1:3" x14ac:dyDescent="0.25">
      <c r="A21" t="s">
        <v>21</v>
      </c>
      <c r="B21" s="6">
        <v>0.05292388108461287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3106000000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0.03969291081345965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15504000000</v>
      </c>
      <c r="C29" s="8" t="s">
        <v>30</v>
      </c>
    </row>
    <row r="30" spans="1:2" x14ac:dyDescent="0.25">
      <c r="A30" t="s">
        <v>31</v>
      </c>
      <c r="B30" s="11">
        <v>1568000000</v>
      </c>
    </row>
    <row r="31" spans="1:2" x14ac:dyDescent="0.25">
      <c r="A31" t="s">
        <v>32</v>
      </c>
      <c r="B31" s="13">
        <v>1940282698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0.15789604345440922</v>
      </c>
      <c r="C5" s="10">
        <f>Assumptions!B6</f>
        <v>0.15789604345440922</v>
      </c>
      <c r="D5" s="10">
        <f>Assumptions!B6</f>
        <v>0.15789604345440922</v>
      </c>
      <c r="E5" s="10">
        <f>Assumptions!B6</f>
        <v>0.15789604345440922</v>
      </c>
      <c r="F5" s="10">
        <f>Assumptions!B6</f>
        <v>0.15789604345440922</v>
      </c>
    </row>
    <row r="6" spans="1:6" x14ac:dyDescent="0.25">
      <c r="A6" t="s">
        <v>43</v>
      </c>
      <c r="B6" s="18">
        <f>Assumptions!B29*(1+B5)</f>
        <v>17952020257.71716</v>
      </c>
      <c r="C6" s="18">
        <f>B6*(1+C5)</f>
        <v>20786573228.424103</v>
      </c>
      <c r="D6" s="18">
        <f>C6*(1+D5)</f>
        <v>24068690898.167614</v>
      </c>
      <c r="E6" s="18">
        <f>D6*(1+E5)</f>
        <v>27869041962.115433</v>
      </c>
      <c r="F6" s="18">
        <f>E6*(1+F5)</f>
        <v>32269453422.798367</v>
      </c>
    </row>
    <row r="7" spans="1:6" x14ac:dyDescent="0.25">
      <c r="A7" t="s">
        <v>5</v>
      </c>
      <c r="B7" s="10">
        <f>Assumptions!B7</f>
        <v>0.03345889465120723</v>
      </c>
      <c r="C7" s="10">
        <f>Assumptions!B7</f>
        <v>0.03345889465120723</v>
      </c>
      <c r="D7" s="10">
        <f>Assumptions!B7</f>
        <v>0.03345889465120723</v>
      </c>
      <c r="E7" s="10">
        <f>Assumptions!B7</f>
        <v>0.03345889465120723</v>
      </c>
      <c r="F7" s="10">
        <f>Assumptions!B7</f>
        <v>0.03345889465120723</v>
      </c>
    </row>
    <row r="8" spans="1:6" x14ac:dyDescent="0.25">
      <c r="A8" t="s">
        <v>44</v>
      </c>
      <c r="B8" s="18">
        <f>B6*B7</f>
        <v>600654754.5792965</v>
      </c>
      <c r="C8" s="18">
        <f>C6*C7</f>
        <v>695495763.8094466</v>
      </c>
      <c r="D8" s="18">
        <f>D6*D7</f>
        <v>805311793.1542605</v>
      </c>
      <c r="E8" s="18">
        <f>E6*E7</f>
        <v>932467339.0404938</v>
      </c>
      <c r="F8" s="18">
        <f>F6*F7</f>
        <v>1079700242.525449</v>
      </c>
    </row>
    <row r="9" spans="1:6" x14ac:dyDescent="0.25">
      <c r="A9" t="s">
        <v>45</v>
      </c>
      <c r="B9" s="18">
        <f>B8*(1-Assumptions!B8)</f>
        <v>450491065.9344723</v>
      </c>
      <c r="C9" s="18">
        <f>C8*(1-Assumptions!B8)</f>
        <v>521621822.85708493</v>
      </c>
      <c r="D9" s="18">
        <f>D8*(1-Assumptions!B8)</f>
        <v>603983844.8656954</v>
      </c>
      <c r="E9" s="18">
        <f>E8*(1-Assumptions!B8)</f>
        <v>699350504.2803704</v>
      </c>
      <c r="F9" s="18">
        <f>F8*(1-Assumptions!B8)</f>
        <v>809775181.8940868</v>
      </c>
    </row>
    <row r="10" spans="1:6" x14ac:dyDescent="0.25">
      <c r="A10" t="s">
        <v>46</v>
      </c>
      <c r="B10" s="18">
        <f>B6*Assumptions!B9</f>
        <v>866133811.1721022</v>
      </c>
      <c r="C10" s="18">
        <f>C6*Assumptions!B9</f>
        <v>1002892913.0582656</v>
      </c>
      <c r="D10" s="18">
        <f>D6*Assumptions!B9</f>
        <v>1161245736.0386324</v>
      </c>
      <c r="E10" s="18">
        <f>E6*Assumptions!B9</f>
        <v>1344601843.2374358</v>
      </c>
      <c r="F10" s="18">
        <f>F6*Assumptions!B9</f>
        <v>1556909154.3061328</v>
      </c>
    </row>
    <row r="11" spans="1:6" x14ac:dyDescent="0.25">
      <c r="A11" t="s">
        <v>47</v>
      </c>
      <c r="B11" s="18">
        <f>-B6*Assumptions!B10</f>
        <v>-626395993.3953469</v>
      </c>
      <c r="C11" s="18">
        <f>-C6*Assumptions!B10</f>
        <v>-725301442.3881664</v>
      </c>
      <c r="D11" s="18">
        <f>-D6*Assumptions!B10</f>
        <v>-839823670.453034</v>
      </c>
      <c r="E11" s="18">
        <f>-E6*Assumptions!B10</f>
        <v>-972428505.2169278</v>
      </c>
      <c r="F11" s="18">
        <f>-F6*Assumptions!B10</f>
        <v>-1125971118.7329662</v>
      </c>
    </row>
    <row r="12" spans="1:6" x14ac:dyDescent="0.25">
      <c r="A12" t="s">
        <v>48</v>
      </c>
      <c r="B12" s="18">
        <f>-(B6-Assumptions!B29)*Assumptions!B11</f>
        <v>-38565960.54918255</v>
      </c>
      <c r="C12" s="18">
        <f>-(C6-B6)*Assumptions!B11</f>
        <v>-44655373.131917335</v>
      </c>
      <c r="D12" s="18">
        <f>-(D6-C6)*Assumptions!B11</f>
        <v>-51706279.8684274</v>
      </c>
      <c r="E12" s="18">
        <f>-(E6-D6)*Assumptions!B11</f>
        <v>-59870496.88139849</v>
      </c>
      <c r="F12" s="18">
        <f>-(F6-E6)*Assumptions!B11</f>
        <v>-69323811.45862086</v>
      </c>
    </row>
    <row r="13" spans="1:6" x14ac:dyDescent="0.25">
      <c r="A13" s="19" t="s">
        <v>49</v>
      </c>
      <c r="B13" s="20">
        <f>B9+B10+B11+B12</f>
        <v>651662923.1620451</v>
      </c>
      <c r="C13" s="20">
        <f>C9+C10+C11+C12</f>
        <v>754557920.3952667</v>
      </c>
      <c r="D13" s="20">
        <f>D9+D10+D11+D12</f>
        <v>873699630.5828664</v>
      </c>
      <c r="E13" s="20">
        <f>E9+E10+E11+E12</f>
        <v>1011653345.4194798</v>
      </c>
      <c r="F13" s="20">
        <f>F9+F10+F11+F12</f>
        <v>1171389406.0086327</v>
      </c>
    </row>
    <row r="14" spans="1:6" x14ac:dyDescent="0.25">
      <c r="A14" t="s">
        <v>50</v>
      </c>
      <c r="B14" s="21">
        <f>1/(1+Assumptions!$B$26)^(1-0.5*Assumptions!$B$32)</f>
        <v>0.9807254797415518</v>
      </c>
      <c r="C14" s="21">
        <f>1/(1+Assumptions!$B$26)^(2-0.5*Assumptions!$B$32)</f>
        <v>0.943283799996509</v>
      </c>
      <c r="D14" s="21">
        <f>1/(1+Assumptions!$B$26)^(3-0.5*Assumptions!$B$32)</f>
        <v>0.9072715512299495</v>
      </c>
      <c r="E14" s="21">
        <f>1/(1+Assumptions!$B$26)^(4-0.5*Assumptions!$B$32)</f>
        <v>0.8726341612929696</v>
      </c>
      <c r="F14" s="21">
        <f>1/(1+Assumptions!$B$26)^(5-0.5*Assumptions!$B$32)</f>
        <v>0.8393191414667024</v>
      </c>
    </row>
    <row r="15" spans="1:6" x14ac:dyDescent="0.25">
      <c r="A15" s="19" t="s">
        <v>51</v>
      </c>
      <c r="B15" s="20">
        <f>B13*B14</f>
        <v>639102432.9478787</v>
      </c>
      <c r="C15" s="20">
        <f>C13*C14</f>
        <v>711762262.4679105</v>
      </c>
      <c r="D15" s="20">
        <f>D13*D14</f>
        <v>792682819.147951</v>
      </c>
      <c r="E15" s="20">
        <f>E13*E14</f>
        <v>882803268.5993546</v>
      </c>
      <c r="F15" s="20">
        <f>F13*F14</f>
        <v>983169550.5743561</v>
      </c>
    </row>
    <row r="17" spans="1:2" x14ac:dyDescent="0.25">
      <c r="A17" s="22" t="s">
        <v>52</v>
      </c>
      <c r="B17" s="23">
        <f>SUM(B15:F15)</f>
        <v>4009520333.737451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1171389406.0086327</v>
      </c>
    </row>
    <row r="5" spans="1:2" x14ac:dyDescent="0.25">
      <c r="A5" t="s">
        <v>56</v>
      </c>
      <c r="B5" s="18">
        <f>IF(Assumptions!$B$33=0,B4,B4-Forecast!F11-Forecast!F10-Forecast!F12)</f>
        <v>812897226.5363853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0.2857038036547255</v>
      </c>
    </row>
    <row r="7" spans="1:2" x14ac:dyDescent="0.25">
      <c r="A7" t="s">
        <v>58</v>
      </c>
      <c r="B7" s="18">
        <f>-MAX(Forecast!F9,0)*B6</f>
        <v>-232247829.60182232</v>
      </c>
    </row>
    <row r="8" spans="1:2" x14ac:dyDescent="0.25">
      <c r="A8" t="s">
        <v>59</v>
      </c>
      <c r="B8" s="18">
        <f>IF(OR(Assumptions!$B$33=0,Assumptions!B12&lt;=0),B5,MAX(B5+B7,0))</f>
        <v>580649396.9345629</v>
      </c>
    </row>
    <row r="9" spans="1:2" x14ac:dyDescent="0.25">
      <c r="A9" t="s">
        <v>60</v>
      </c>
      <c r="B9" s="18">
        <f>B8*(1+Assumptions!B12)/(Assumptions!B26-Assumptions!B12)</f>
        <v>40506992754.13263</v>
      </c>
    </row>
    <row r="10" spans="1:2" x14ac:dyDescent="0.25">
      <c r="A10" t="s">
        <v>61</v>
      </c>
      <c r="B10" s="18">
        <f>B9/(1+Assumptions!B26)^(5-0.5*Assumptions!B32)</f>
        <v>33998294381.79653</v>
      </c>
    </row>
    <row r="11" spans="1:2" x14ac:dyDescent="0.25">
      <c r="A11" t="s">
        <v>62</v>
      </c>
      <c r="B11" s="18">
        <f>Forecast!B17+B10</f>
        <v>38007814715.53398</v>
      </c>
    </row>
    <row r="12" spans="1:2" x14ac:dyDescent="0.25">
      <c r="A12" t="s">
        <v>63</v>
      </c>
      <c r="B12" s="18">
        <f>-Assumptions!B30</f>
        <v>-1568000000</v>
      </c>
    </row>
    <row r="13" spans="1:2" x14ac:dyDescent="0.25">
      <c r="A13" t="s">
        <v>64</v>
      </c>
      <c r="B13" s="18">
        <f>B11+B12</f>
        <v>36439814715.53398</v>
      </c>
    </row>
    <row r="14" spans="1:2" x14ac:dyDescent="0.25">
      <c r="A14" s="19" t="s">
        <v>65</v>
      </c>
      <c r="B14" s="24">
        <f>B13/Assumptions!B31</f>
        <v>18.780672915908248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2636609396.831582</v>
      </c>
    </row>
    <row r="18" spans="1:2" x14ac:dyDescent="0.25">
      <c r="A18" t="s">
        <v>60</v>
      </c>
      <c r="B18" s="18">
        <f>B17*Assumptions!B13</f>
        <v>21092875174.652657</v>
      </c>
    </row>
    <row r="19" spans="1:2" x14ac:dyDescent="0.25">
      <c r="A19" t="s">
        <v>61</v>
      </c>
      <c r="B19" s="18">
        <f>B18/(1+Assumptions!B26)^(5-0.5*Assumptions!B32)</f>
        <v>17703653882.65379</v>
      </c>
    </row>
    <row r="20" spans="1:2" x14ac:dyDescent="0.25">
      <c r="A20" t="s">
        <v>62</v>
      </c>
      <c r="B20" s="18">
        <f>Forecast!B17+B19</f>
        <v>21713174216.39124</v>
      </c>
    </row>
    <row r="21" spans="1:2" x14ac:dyDescent="0.25">
      <c r="A21" t="s">
        <v>63</v>
      </c>
      <c r="B21" s="18">
        <f>-Assumptions!B30</f>
        <v>-1568000000</v>
      </c>
    </row>
    <row r="22" spans="1:2" x14ac:dyDescent="0.25">
      <c r="A22" t="s">
        <v>64</v>
      </c>
      <c r="B22" s="18">
        <f>B20+B21</f>
        <v>20145174216.39124</v>
      </c>
    </row>
    <row r="23" spans="1:2" x14ac:dyDescent="0.25">
      <c r="A23" s="19" t="s">
        <v>65</v>
      </c>
      <c r="B23" s="25">
        <f>B22/Assumptions!B31</f>
        <v>10.382597462295795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4.265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18.780672915908248</v>
      </c>
    </row>
    <row r="29" spans="1:2" x14ac:dyDescent="0.25">
      <c r="A29" s="19" t="s">
        <v>73</v>
      </c>
      <c r="B29" s="12">
        <f>B28/B26-1</f>
        <v>3.403440308536518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0.019693</v>
      </c>
      <c r="B5" s="31">
        <v>70.14225773936646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0.029693</v>
      </c>
      <c r="B6" s="31">
        <v>22.335477267027038</v>
      </c>
      <c r="C6" s="31">
        <v>31.1279932051453</v>
      </c>
      <c r="D6" s="31">
        <v>58.61117575020673</v>
      </c>
      <c r="E6" s="31" t="s">
        <v>76</v>
      </c>
      <c r="F6" s="31" t="s">
        <v>76</v>
      </c>
    </row>
    <row r="7" spans="1:6" x14ac:dyDescent="0.25">
      <c r="A7" s="30">
        <v>0.039693</v>
      </c>
      <c r="B7" s="31">
        <v>13.234641730257795</v>
      </c>
      <c r="C7" s="31">
        <v>15.30865524924456</v>
      </c>
      <c r="D7" s="32">
        <v>18.78055931023475</v>
      </c>
      <c r="E7" s="31">
        <v>25.813601424840005</v>
      </c>
      <c r="F7" s="31">
        <v>47.79006814840359</v>
      </c>
    </row>
    <row r="8" spans="1:6" x14ac:dyDescent="0.25">
      <c r="A8" s="30">
        <v>0.049693</v>
      </c>
      <c r="B8" s="31">
        <v>9.370355349242402</v>
      </c>
      <c r="C8" s="31">
        <v>10.131102184034704</v>
      </c>
      <c r="D8" s="31">
        <v>11.192136962924941</v>
      </c>
      <c r="E8" s="31">
        <v>12.782186602150821</v>
      </c>
      <c r="F8" s="31">
        <v>15.441319359048117</v>
      </c>
    </row>
    <row r="9" spans="1:6" x14ac:dyDescent="0.25">
      <c r="A9" s="30">
        <v>0.059693</v>
      </c>
      <c r="B9" s="31">
        <v>7.22811504739279</v>
      </c>
      <c r="C9" s="31">
        <v>7.552920644346225</v>
      </c>
      <c r="D9" s="31">
        <v>7.966033296787549</v>
      </c>
      <c r="E9" s="31">
        <v>8.512063041840607</v>
      </c>
      <c r="F9" s="31">
        <v>9.271751643939691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15504000000</v>
      </c>
      <c r="C5" s="18">
        <v>14549000000</v>
      </c>
      <c r="D5" s="18">
        <v>11883000000</v>
      </c>
      <c r="E5" s="18">
        <v>9987000000</v>
      </c>
      <c r="F5" s="8" t="s">
        <v>85</v>
      </c>
    </row>
    <row r="6" spans="1:6" x14ac:dyDescent="0.25">
      <c r="A6" t="s">
        <v>44</v>
      </c>
      <c r="B6" s="18">
        <v>691000000</v>
      </c>
      <c r="C6" s="18">
        <v>656000000</v>
      </c>
      <c r="D6" s="18">
        <v>450000000</v>
      </c>
      <c r="E6" s="18">
        <v>63000000</v>
      </c>
      <c r="F6" s="8" t="s">
        <v>86</v>
      </c>
    </row>
    <row r="7" spans="1:6" x14ac:dyDescent="0.25">
      <c r="A7" t="s">
        <v>87</v>
      </c>
      <c r="B7" s="18">
        <v>988000000</v>
      </c>
      <c r="C7" s="18">
        <v>675000000</v>
      </c>
      <c r="D7" s="18">
        <v>460000000</v>
      </c>
      <c r="E7" s="18">
        <v>441000000</v>
      </c>
      <c r="F7" s="8" t="s">
        <v>88</v>
      </c>
    </row>
    <row r="8" spans="1:6" x14ac:dyDescent="0.25">
      <c r="A8" t="s">
        <v>89</v>
      </c>
      <c r="B8" s="18">
        <v>364000000</v>
      </c>
      <c r="C8" s="18">
        <v>337000000</v>
      </c>
      <c r="D8" s="18">
        <v>482000000</v>
      </c>
      <c r="E8" s="18">
        <v>523000000</v>
      </c>
      <c r="F8" s="8" t="s">
        <v>90</v>
      </c>
    </row>
    <row r="9" spans="1:6" x14ac:dyDescent="0.25">
      <c r="A9" t="s">
        <v>91</v>
      </c>
      <c r="B9" s="18">
        <v>-115000000</v>
      </c>
      <c r="C9" s="18">
        <v>42000000</v>
      </c>
      <c r="D9" s="18">
        <v>128000000</v>
      </c>
      <c r="E9" s="18">
        <v>626000000</v>
      </c>
      <c r="F9" s="8" t="s">
        <v>92</v>
      </c>
    </row>
    <row r="10" spans="1:6" x14ac:dyDescent="0.25">
      <c r="A10" t="s">
        <v>93</v>
      </c>
      <c r="B10" s="18">
        <v>3106000000</v>
      </c>
      <c r="C10" s="18">
        <v>3016000000</v>
      </c>
      <c r="D10" s="18">
        <v>3123000000</v>
      </c>
      <c r="E10" s="18">
        <v>3033000000</v>
      </c>
      <c r="F10" s="8" t="s">
        <v>94</v>
      </c>
    </row>
    <row r="11" spans="1:6" x14ac:dyDescent="0.25">
      <c r="A11" t="s">
        <v>95</v>
      </c>
      <c r="B11" s="18">
        <v>1538000000</v>
      </c>
      <c r="C11" s="18">
        <v>2543000000</v>
      </c>
      <c r="D11" s="18">
        <v>2222000000</v>
      </c>
      <c r="E11" s="18">
        <v>2127000000</v>
      </c>
      <c r="F11" s="8" t="s">
        <v>96</v>
      </c>
    </row>
    <row r="12" spans="1:6" x14ac:dyDescent="0.25">
      <c r="A12" t="s">
        <v>32</v>
      </c>
      <c r="B12" s="34">
        <v>1940282698</v>
      </c>
      <c r="C12" s="34">
        <v>1957188327</v>
      </c>
      <c r="D12" s="34">
        <v>2008953715</v>
      </c>
      <c r="E12" s="34">
        <v>940343047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