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<sst xmlns="http://schemas.openxmlformats.org/spreadsheetml/2006/main" count="112" uniqueCount="100">
  <si>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Spirax Group plc (SPX.L)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</si>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</sst>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0.018748893961488378</v>
      </c>
    </row>
    <row r="7" spans="1:2" x14ac:dyDescent="0.25">
      <c r="A7" t="s">
        <v>5</v>
      </c>
      <c r="B7" s="6">
        <v>0.17612344129515112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0.05588813931506753</v>
      </c>
    </row>
    <row r="10" spans="1:2" x14ac:dyDescent="0.25">
      <c r="A10" t="s">
        <v>8</v>
      </c>
      <c r="B10" s="6">
        <v>0.05781406290821561</v>
      </c>
    </row>
    <row r="11" spans="1:2" x14ac:dyDescent="0.25">
      <c r="A11" t="s">
        <v>9</v>
      </c>
      <c r="B11" s="6">
        <v>0.12777777777777777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15.767770112421168</v>
      </c>
    </row>
    <row r="14" spans="1:3" x14ac:dyDescent="0.25">
      <c r="A14" t="s">
        <v>12</v>
      </c>
      <c r="B14" s="6">
        <v>0.10224420341056323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1.09648</v>
      </c>
      <c r="C19" s="8" t="s">
        <v>19</v>
      </c>
    </row>
    <row r="20" spans="1:2" x14ac:dyDescent="0.25">
      <c r="A20" t="s">
        <v>20</v>
      </c>
      <c r="B20" s="10">
        <f>B17+B19*B18</f>
        <v>0.1053064</v>
      </c>
    </row>
    <row r="21" spans="1:3" x14ac:dyDescent="0.25">
      <c r="A21" t="s">
        <v>21</v>
      </c>
      <c r="B21" s="6">
        <v>0.04586708304869718</v>
      </c>
      <c r="C21" s="8" t="s">
        <v>22</v>
      </c>
    </row>
    <row r="22" spans="1:2" x14ac:dyDescent="0.25">
      <c r="A22" t="s">
        <v>23</v>
      </c>
      <c r="B22" s="11">
        <v>5095605760</v>
      </c>
    </row>
    <row r="23" spans="1:2" x14ac:dyDescent="0.25">
      <c r="A23" t="s">
        <v>24</v>
      </c>
      <c r="B23" s="11">
        <v>1023900000</v>
      </c>
    </row>
    <row r="24" spans="1:2" x14ac:dyDescent="0.25">
      <c r="A24" t="s">
        <v>25</v>
      </c>
      <c r="B24" s="10">
        <f>B22/(B22+B23)</f>
        <v>0.8326825661816192</v>
      </c>
    </row>
    <row r="25" spans="1:2" x14ac:dyDescent="0.25">
      <c r="A25" t="s">
        <v>26</v>
      </c>
      <c r="B25" s="10">
        <f>1-B24</f>
        <v>0.16731743381838082</v>
      </c>
    </row>
    <row r="26" spans="1:2" x14ac:dyDescent="0.25">
      <c r="A26" t="s">
        <v>27</v>
      </c>
      <c r="B26" s="12">
        <f>B24*B20+B25*B21*(1-B8)</f>
        <v>0.09344257536167999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1702900000</v>
      </c>
      <c r="C29" s="8" t="s">
        <v>30</v>
      </c>
    </row>
    <row r="30" spans="1:2" x14ac:dyDescent="0.25">
      <c r="A30" t="s">
        <v>31</v>
      </c>
      <c r="B30" s="11">
        <v>654900000</v>
      </c>
    </row>
    <row r="31" spans="1:2" x14ac:dyDescent="0.25">
      <c r="A31" t="s">
        <v>32</v>
      </c>
      <c r="B31" s="13">
        <v>73900000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0.018748893961488378</v>
      </c>
      <c r="C5" s="10">
        <f>Assumptions!B6</f>
        <v>0.018748893961488378</v>
      </c>
      <c r="D5" s="10">
        <f>Assumptions!B6</f>
        <v>0.018748893961488378</v>
      </c>
      <c r="E5" s="10">
        <f>Assumptions!B6</f>
        <v>0.018748893961488378</v>
      </c>
      <c r="F5" s="10">
        <f>Assumptions!B6</f>
        <v>0.018748893961488378</v>
      </c>
    </row>
    <row r="6" spans="1:6" x14ac:dyDescent="0.25">
      <c r="A6" t="s">
        <v>43</v>
      </c>
      <c r="B6" s="18">
        <f>Assumptions!B29*(1+B5)</f>
        <v>1734827491.5270185</v>
      </c>
      <c r="C6" s="18">
        <f>B6*(1+C5)</f>
        <v>1767353588.2071335</v>
      </c>
      <c r="D6" s="18">
        <f>C6*(1+D5)</f>
        <v>1800489513.224885</v>
      </c>
      <c r="E6" s="18">
        <f>D6*(1+E5)</f>
        <v>1834246700.1871102</v>
      </c>
      <c r="F6" s="18">
        <f>E6*(1+F5)</f>
        <v>1868636797.0681283</v>
      </c>
    </row>
    <row r="7" spans="1:6" x14ac:dyDescent="0.25">
      <c r="A7" t="s">
        <v>5</v>
      </c>
      <c r="B7" s="10">
        <f>Assumptions!B7</f>
        <v>0.17612344129515112</v>
      </c>
      <c r="C7" s="10">
        <f>Assumptions!B7</f>
        <v>0.17612344129515112</v>
      </c>
      <c r="D7" s="10">
        <f>Assumptions!B7</f>
        <v>0.17612344129515112</v>
      </c>
      <c r="E7" s="10">
        <f>Assumptions!B7</f>
        <v>0.17612344129515112</v>
      </c>
      <c r="F7" s="10">
        <f>Assumptions!B7</f>
        <v>0.17612344129515112</v>
      </c>
    </row>
    <row r="8" spans="1:6" x14ac:dyDescent="0.25">
      <c r="A8" t="s">
        <v>44</v>
      </c>
      <c r="B8" s="18">
        <f>B6*B7</f>
        <v>305543787.86117315</v>
      </c>
      <c r="C8" s="18">
        <f>C6*C7</f>
        <v>311272395.9403738</v>
      </c>
      <c r="D8" s="18">
        <f>D6*D7</f>
        <v>317108409.08499825</v>
      </c>
      <c r="E8" s="18">
        <f>E6*E7</f>
        <v>323053841.02122915</v>
      </c>
      <c r="F8" s="18">
        <f>F6*F7</f>
        <v>329110743.2303877</v>
      </c>
    </row>
    <row r="9" spans="1:6" x14ac:dyDescent="0.25">
      <c r="A9" t="s">
        <v>45</v>
      </c>
      <c r="B9" s="18">
        <f>B8*(1-Assumptions!B8)</f>
        <v>229157840.89587986</v>
      </c>
      <c r="C9" s="18">
        <f>C8*(1-Assumptions!B8)</f>
        <v>233454296.95528033</v>
      </c>
      <c r="D9" s="18">
        <f>D8*(1-Assumptions!B8)</f>
        <v>237831306.8137487</v>
      </c>
      <c r="E9" s="18">
        <f>E8*(1-Assumptions!B8)</f>
        <v>242290380.76592186</v>
      </c>
      <c r="F9" s="18">
        <f>F8*(1-Assumptions!B8)</f>
        <v>246833057.42279077</v>
      </c>
    </row>
    <row r="10" spans="1:6" x14ac:dyDescent="0.25">
      <c r="A10" t="s">
        <v>46</v>
      </c>
      <c r="B10" s="18">
        <f>B6*Assumptions!B9</f>
        <v>96956280.53407115</v>
      </c>
      <c r="C10" s="18">
        <f>C6*Assumptions!B9</f>
        <v>98774103.55670477</v>
      </c>
      <c r="D10" s="18">
        <f>D6*Assumptions!B9</f>
        <v>100626008.7504305</v>
      </c>
      <c r="E10" s="18">
        <f>E6*Assumptions!B9</f>
        <v>102512635.11826012</v>
      </c>
      <c r="F10" s="18">
        <f>F6*Assumptions!B9</f>
        <v>104434633.64380513</v>
      </c>
    </row>
    <row r="11" spans="1:6" x14ac:dyDescent="0.25">
      <c r="A11" t="s">
        <v>47</v>
      </c>
      <c r="B11" s="18">
        <f>-B6*Assumptions!B10</f>
        <v>-100297425.73004495</v>
      </c>
      <c r="C11" s="18">
        <f>-C6*Assumptions!B10</f>
        <v>-102177891.52966781</v>
      </c>
      <c r="D11" s="18">
        <f>-D6*Assumptions!B10</f>
        <v>-104093613.98316601</v>
      </c>
      <c r="E11" s="18">
        <f>-E6*Assumptions!B10</f>
        <v>-106045254.11380449</v>
      </c>
      <c r="F11" s="18">
        <f>-F6*Assumptions!B10</f>
        <v>-108033485.3383033</v>
      </c>
    </row>
    <row r="12" spans="1:6" x14ac:dyDescent="0.25">
      <c r="A12" t="s">
        <v>48</v>
      </c>
      <c r="B12" s="18">
        <f>-(B6-Assumptions!B29)*Assumptions!B11</f>
        <v>-4079623.9173412584</v>
      </c>
      <c r="C12" s="18">
        <f>-(C6-B6)*Assumptions!B11</f>
        <v>-4156112.3535702475</v>
      </c>
      <c r="D12" s="18">
        <f>-(D6-C6)*Assumptions!B11</f>
        <v>-4234034.863379353</v>
      </c>
      <c r="E12" s="18">
        <f>-(E6-D6)*Assumptions!B11</f>
        <v>-4313418.334062109</v>
      </c>
      <c r="F12" s="18">
        <f>-(F6-E6)*Assumptions!B11</f>
        <v>-4394290.157018987</v>
      </c>
    </row>
    <row r="13" spans="1:6" x14ac:dyDescent="0.25">
      <c r="A13" s="19" t="s">
        <v>49</v>
      </c>
      <c r="B13" s="20">
        <f>B9+B10+B11+B12</f>
        <v>221737071.7825648</v>
      </c>
      <c r="C13" s="20">
        <f>C9+C10+C11+C12</f>
        <v>225894396.62874708</v>
      </c>
      <c r="D13" s="20">
        <f>D9+D10+D11+D12</f>
        <v>230129666.7176338</v>
      </c>
      <c r="E13" s="20">
        <f>E9+E10+E11+E12</f>
        <v>234444343.4363154</v>
      </c>
      <c r="F13" s="20">
        <f>F9+F10+F11+F12</f>
        <v>238839915.57127362</v>
      </c>
    </row>
    <row r="14" spans="1:6" x14ac:dyDescent="0.25">
      <c r="A14" t="s">
        <v>50</v>
      </c>
      <c r="B14" s="21">
        <f>1/(1+Assumptions!$B$26)^(1-0.5*Assumptions!$B$32)</f>
        <v>0.9563172948549495</v>
      </c>
      <c r="C14" s="21">
        <f>1/(1+Assumptions!$B$26)^(2-0.5*Assumptions!$B$32)</f>
        <v>0.8745930663424428</v>
      </c>
      <c r="D14" s="21">
        <f>1/(1+Assumptions!$B$26)^(3-0.5*Assumptions!$B$32)</f>
        <v>0.7998527641500991</v>
      </c>
      <c r="E14" s="21">
        <f>1/(1+Assumptions!$B$26)^(4-0.5*Assumptions!$B$32)</f>
        <v>0.7314995612691688</v>
      </c>
      <c r="F14" s="21">
        <f>1/(1+Assumptions!$B$26)^(5-0.5*Assumptions!$B$32)</f>
        <v>0.6689876338747915</v>
      </c>
    </row>
    <row r="15" spans="1:6" x14ac:dyDescent="0.25">
      <c r="A15" s="19" t="s">
        <v>51</v>
      </c>
      <c r="B15" s="20">
        <f>B13*B14</f>
        <v>212050996.65616012</v>
      </c>
      <c r="C15" s="20">
        <f>C13*C14</f>
        <v>197565673.0171119</v>
      </c>
      <c r="D15" s="20">
        <f>D13*D14</f>
        <v>184069850.03704047</v>
      </c>
      <c r="E15" s="20">
        <f>E13*E14</f>
        <v>171495934.36570305</v>
      </c>
      <c r="F15" s="20">
        <f>F13*F14</f>
        <v>159780949.99288133</v>
      </c>
    </row>
    <row r="17" spans="1:2" x14ac:dyDescent="0.25">
      <c r="A17" s="22" t="s">
        <v>52</v>
      </c>
      <c r="B17" s="23">
        <f>SUM(B15:F15)</f>
        <v>924963404.0688968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238839915.57127362</v>
      </c>
    </row>
    <row r="5" spans="1:2" x14ac:dyDescent="0.25">
      <c r="A5" t="s">
        <v>56</v>
      </c>
      <c r="B5" s="18">
        <f>IF(Assumptions!$B$33=0,B4,B4-Forecast!F11-Forecast!F10-Forecast!F12)</f>
        <v>280742180.9574032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0.244512639015946</v>
      </c>
    </row>
    <row r="7" spans="1:2" x14ac:dyDescent="0.25">
      <c r="A7" t="s">
        <v>58</v>
      </c>
      <c r="B7" s="18">
        <f>-MAX(Forecast!F9,0)*B6</f>
        <v>-68645011.54898691</v>
      </c>
    </row>
    <row r="8" spans="1:2" x14ac:dyDescent="0.25">
      <c r="A8" t="s">
        <v>59</v>
      </c>
      <c r="B8" s="18">
        <f>IF(OR(Assumptions!$B$33=0,Assumptions!B12&lt;=0),B5,MAX(B5+B7,0))</f>
        <v>212097169.40841627</v>
      </c>
    </row>
    <row r="9" spans="1:2" x14ac:dyDescent="0.25">
      <c r="A9" t="s">
        <v>60</v>
      </c>
      <c r="B9" s="18">
        <f>B8*(1+Assumptions!B12)/(Assumptions!B26-Assumptions!B12)</f>
        <v>3176379577.986271</v>
      </c>
    </row>
    <row r="10" spans="1:2" x14ac:dyDescent="0.25">
      <c r="A10" t="s">
        <v>61</v>
      </c>
      <c r="B10" s="18">
        <f>B9/(1+Assumptions!B26)^(5-0.5*Assumptions!B32)</f>
        <v>2124958658.1652443</v>
      </c>
    </row>
    <row r="11" spans="1:2" x14ac:dyDescent="0.25">
      <c r="A11" t="s">
        <v>62</v>
      </c>
      <c r="B11" s="18">
        <f>Forecast!B17+B10</f>
        <v>3049922062.2341413</v>
      </c>
    </row>
    <row r="12" spans="1:2" x14ac:dyDescent="0.25">
      <c r="A12" t="s">
        <v>63</v>
      </c>
      <c r="B12" s="18">
        <f>-Assumptions!B30</f>
        <v>-654900000</v>
      </c>
    </row>
    <row r="13" spans="1:2" x14ac:dyDescent="0.25">
      <c r="A13" t="s">
        <v>64</v>
      </c>
      <c r="B13" s="18">
        <f>B11+B12</f>
        <v>2395022062.2341413</v>
      </c>
    </row>
    <row r="14" spans="1:2" x14ac:dyDescent="0.25">
      <c r="A14" s="19" t="s">
        <v>65</v>
      </c>
      <c r="B14" s="24">
        <f>B13/Assumptions!B31</f>
        <v>32.40895889356078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433545376.87419283</v>
      </c>
    </row>
    <row r="18" spans="1:2" x14ac:dyDescent="0.25">
      <c r="A18" t="s">
        <v>60</v>
      </c>
      <c r="B18" s="18">
        <f>B17*Assumptions!B13</f>
        <v>6836043835.855269</v>
      </c>
    </row>
    <row r="19" spans="1:2" x14ac:dyDescent="0.25">
      <c r="A19" t="s">
        <v>61</v>
      </c>
      <c r="B19" s="18">
        <f>B18/(1+Assumptions!B26)^(5-0.5*Assumptions!B32)</f>
        <v>4573228790.81317</v>
      </c>
    </row>
    <row r="20" spans="1:2" x14ac:dyDescent="0.25">
      <c r="A20" t="s">
        <v>62</v>
      </c>
      <c r="B20" s="18">
        <f>Forecast!B17+B19</f>
        <v>5498192194.882067</v>
      </c>
    </row>
    <row r="21" spans="1:2" x14ac:dyDescent="0.25">
      <c r="A21" t="s">
        <v>63</v>
      </c>
      <c r="B21" s="18">
        <f>-Assumptions!B30</f>
        <v>-654900000</v>
      </c>
    </row>
    <row r="22" spans="1:2" x14ac:dyDescent="0.25">
      <c r="A22" t="s">
        <v>64</v>
      </c>
      <c r="B22" s="18">
        <f>B20+B21</f>
        <v>4843292194.882067</v>
      </c>
    </row>
    <row r="23" spans="1:2" x14ac:dyDescent="0.25">
      <c r="A23" s="19" t="s">
        <v>65</v>
      </c>
      <c r="B23" s="25">
        <f>B22/Assumptions!B31</f>
        <v>65.53846001193595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6905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3240.895889356078</v>
      </c>
    </row>
    <row r="29" spans="1:2" x14ac:dyDescent="0.25">
      <c r="A29" s="19" t="s">
        <v>73</v>
      </c>
      <c r="B29" s="12">
        <f>B28/B26-1</f>
        <v>-0.5306450558499525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0.073443</v>
      </c>
      <c r="B5" s="31">
        <v>45.14096535943826</v>
      </c>
      <c r="C5" s="31">
        <v>46.61277963199968</v>
      </c>
      <c r="D5" s="31">
        <v>48.36054006430168</v>
      </c>
      <c r="E5" s="31">
        <v>50.47952535247738</v>
      </c>
      <c r="F5" s="31">
        <v>53.114583006817476</v>
      </c>
    </row>
    <row r="6" spans="1:6" x14ac:dyDescent="0.25">
      <c r="A6" s="30">
        <v>0.083443</v>
      </c>
      <c r="B6" s="31">
        <v>37.44715265936929</v>
      </c>
      <c r="C6" s="31">
        <v>38.184321510271054</v>
      </c>
      <c r="D6" s="31">
        <v>39.02546171530881</v>
      </c>
      <c r="E6" s="31">
        <v>39.99975521247339</v>
      </c>
      <c r="F6" s="31">
        <v>41.148431888062085</v>
      </c>
    </row>
    <row r="7" spans="1:6" x14ac:dyDescent="0.25">
      <c r="A7" s="30">
        <v>0.093443</v>
      </c>
      <c r="B7" s="31">
        <v>31.71460229180222</v>
      </c>
      <c r="C7" s="31">
        <v>32.04649399706794</v>
      </c>
      <c r="D7" s="32">
        <v>32.40871877721332</v>
      </c>
      <c r="E7" s="31">
        <v>32.80844836313377</v>
      </c>
      <c r="F7" s="31">
        <v>33.25530875087028</v>
      </c>
    </row>
    <row r="8" spans="1:6" x14ac:dyDescent="0.25">
      <c r="A8" s="30">
        <v>0.103443</v>
      </c>
      <c r="B8" s="31">
        <v>27.32563854154774</v>
      </c>
      <c r="C8" s="31">
        <v>27.443550420600687</v>
      </c>
      <c r="D8" s="31">
        <v>27.56146229965363</v>
      </c>
      <c r="E8" s="31">
        <v>27.67937417870657</v>
      </c>
      <c r="F8" s="31">
        <v>27.797286057759518</v>
      </c>
    </row>
    <row r="9" spans="1:6" x14ac:dyDescent="0.25">
      <c r="A9" s="30">
        <v>0.113443</v>
      </c>
      <c r="B9" s="31">
        <v>24.092284855659262</v>
      </c>
      <c r="C9" s="31">
        <v>24.19552523239018</v>
      </c>
      <c r="D9" s="31">
        <v>24.29876560912109</v>
      </c>
      <c r="E9" s="31">
        <v>24.402005985851996</v>
      </c>
      <c r="F9" s="31">
        <v>24.505246362582906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1702900000</v>
      </c>
      <c r="C5" s="18">
        <v>1665200000</v>
      </c>
      <c r="D5" s="18">
        <v>1682600000</v>
      </c>
      <c r="E5" s="18">
        <v>1610600000</v>
      </c>
      <c r="F5" s="8" t="s">
        <v>84</v>
      </c>
    </row>
    <row r="6" spans="1:6" x14ac:dyDescent="0.25">
      <c r="A6" t="s">
        <v>44</v>
      </c>
      <c r="B6" s="18">
        <v>265400000</v>
      </c>
      <c r="C6" s="18">
        <v>304600000</v>
      </c>
      <c r="D6" s="18">
        <v>284400000</v>
      </c>
      <c r="E6" s="18">
        <v>316800000</v>
      </c>
      <c r="F6" s="8" t="s">
        <v>85</v>
      </c>
    </row>
    <row r="7" spans="1:6" x14ac:dyDescent="0.25">
      <c r="A7" t="s">
        <v>86</v>
      </c>
      <c r="B7" s="18">
        <v>99300000</v>
      </c>
      <c r="C7" s="18">
        <v>98000000</v>
      </c>
      <c r="D7" s="18">
        <v>97000000</v>
      </c>
      <c r="E7" s="18">
        <v>78500000</v>
      </c>
      <c r="F7" s="8" t="s">
        <v>87</v>
      </c>
    </row>
    <row r="8" spans="1:6" x14ac:dyDescent="0.25">
      <c r="A8" t="s">
        <v>88</v>
      </c>
      <c r="B8" s="18">
        <v>68000000</v>
      </c>
      <c r="C8" s="18">
        <v>92800000</v>
      </c>
      <c r="D8" s="18">
        <v>105400000</v>
      </c>
      <c r="E8" s="18">
        <v>117500000</v>
      </c>
      <c r="F8" s="8" t="s">
        <v>89</v>
      </c>
    </row>
    <row r="9" spans="1:6" x14ac:dyDescent="0.25">
      <c r="A9" t="s">
        <v>90</v>
      </c>
      <c r="B9" s="18">
        <v>18600000</v>
      </c>
      <c r="C9" s="18">
        <v>-1000000</v>
      </c>
      <c r="D9" s="18">
        <v>9200000</v>
      </c>
      <c r="E9" s="18">
        <v>91900000</v>
      </c>
      <c r="F9" s="8" t="s">
        <v>91</v>
      </c>
    </row>
    <row r="10" spans="1:6" x14ac:dyDescent="0.25">
      <c r="A10" t="s">
        <v>92</v>
      </c>
      <c r="B10" s="18">
        <v>1023900000</v>
      </c>
      <c r="C10" s="18">
        <v>1025500000</v>
      </c>
      <c r="D10" s="18">
        <v>1123100000</v>
      </c>
      <c r="E10" s="18">
        <v>1084500000</v>
      </c>
      <c r="F10" s="8" t="s">
        <v>93</v>
      </c>
    </row>
    <row r="11" spans="1:6" x14ac:dyDescent="0.25">
      <c r="A11" t="s">
        <v>94</v>
      </c>
      <c r="B11" s="18">
        <v>369000000</v>
      </c>
      <c r="C11" s="18">
        <v>334200000</v>
      </c>
      <c r="D11" s="18">
        <v>359700000</v>
      </c>
      <c r="E11" s="18">
        <v>328900000</v>
      </c>
      <c r="F11" s="8" t="s">
        <v>95</v>
      </c>
    </row>
    <row r="12" spans="1:6" x14ac:dyDescent="0.25">
      <c r="A12" t="s">
        <v>32</v>
      </c>
      <c r="B12" s="34">
        <v>73900000</v>
      </c>
      <c r="C12" s="34">
        <v>73900000</v>
      </c>
      <c r="D12" s="34">
        <v>73800000</v>
      </c>
      <c r="E12" s="34">
        <v>73800000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2026-09-19T00:08:12Z</dcterms:modified>
</cp:coreProperties>
</file>