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<sst xmlns="http://schemas.openxmlformats.org/spreadsheetml/2006/main" count="121" uniqueCount="108">
  <si>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Sempra (SRE)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</si>
  <si>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</si>
  <si>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</si>
  <si>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</si>
  <si>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</si>
  <si>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</si>
  <si>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</si>
  <si>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</si>
  <si>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</si>
  <si>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</si>
  <si>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</si>
  <si>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</si>
  <si>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</si>
  <si>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</si>
  <si>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</si>
  <si>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</si>
  <si>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</si>
  <si>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</si>
  <si>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</si>
  <si>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</si>
  <si>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</si>
  <si>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</si>
  <si>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</si>
  <si>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</si>
  <si>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+ 184bp, the spread for a BB rating at 2.0x interest cover. Book interest / average debt was lower, at 4.3%.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</si>
  <si>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</si>
  <si>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</si>
  <si>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</si>
  <si>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</si>
  <si>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</si>
  <si>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</si>
  <si>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</si>
  <si>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</si>
  <si>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</si>
  <si>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</si>
  <si>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</si>
  <si>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</si>
  <si>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</si>
  <si>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</si>
  <si>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</si>
  <si>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</si>
  <si>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</si>
  <si>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</si>
  <si>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</si>
  <si>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</si>
  <si>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</si>
  <si>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</si>
  <si>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</si>
  <si>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</si>
  <si>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</si>
  <si>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</si>
  <si>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</si>
  <si>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</si>
  <si>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</si>
  <si>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</si>
  <si>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</si>
  <si>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</si>
  <si>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</si>
  <si>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</si>
  <si>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</si>
  <si>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</si>
  <si>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</si>
  <si>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</si>
  <si>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</si>
  <si>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</si>
  <si>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</si>
  <si>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</si>
  <si>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</si>
  <si>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</si>
  <si>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</si>
  <si>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</si>
  <si>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</si>
  <si>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</si>
  <si>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</si>
  <si>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</si>
  <si>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</si>
  <si>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</si>
  <si>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</si>
  <si>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</si>
  <si>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</si>
  <si>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</si>
  <si>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</si>
  <si>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</si>
  <si>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</si>
  <si>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</si>
  <si>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</si>
  <si>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</si>
  <si>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</si>
  <si>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</si>
  <si>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</si>
  <si>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</si>
  <si>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</si>
  <si>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</si>
  <si>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</si>
  <si>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</si>
  <si>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</si>
  <si>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</si>
  <si>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</si>
  <si>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</si>
  <si>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</si>
  <si>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</si>
  <si>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</si>
  <si>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</si>
  <si>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</si>
  <si>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</si>
  <si>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</si>
  <si>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56.8% of revenue against depreciation of 16.1%.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</si>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</sst>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0.0001997182893007654</v>
      </c>
    </row>
    <row r="7" spans="1:2" x14ac:dyDescent="0.25">
      <c r="A7" t="s">
        <v>4</v>
      </c>
      <c r="B7" s="5">
        <v>0.21219313888937757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0.16122691014761878</v>
      </c>
    </row>
    <row r="10" spans="1:3" x14ac:dyDescent="0.25">
      <c r="A10" t="s">
        <v>7</v>
      </c>
      <c r="B10" s="5">
        <v>0.5676909928715224</v>
      </c>
      <c r="C10" s="6" t="s">
        <v>8</v>
      </c>
    </row>
    <row r="11" spans="1:2" x14ac:dyDescent="0.25">
      <c r="A11" t="s">
        <v>9</v>
      </c>
      <c r="B11" s="5">
        <v>0.044257334346468474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16.173429270955165</v>
      </c>
    </row>
    <row r="14" spans="1:3" x14ac:dyDescent="0.25">
      <c r="A14" t="s">
        <v>12</v>
      </c>
      <c r="B14" s="5">
        <v>0.06896079070254837</v>
      </c>
      <c r="C14" s="6" t="s">
        <v>13</v>
      </c>
    </row>
    <row r="15" spans="1:3" x14ac:dyDescent="0.25">
      <c r="A15" t="s">
        <v>14</v>
      </c>
      <c r="B15" s="5">
        <v>0.16122691014761878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0.7052</v>
      </c>
      <c r="C19" s="6" t="s">
        <v>21</v>
      </c>
    </row>
    <row r="20" spans="1:2" x14ac:dyDescent="0.25">
      <c r="A20" t="s">
        <v>22</v>
      </c>
      <c r="B20" s="9">
        <f>B17+B19*B18</f>
        <v>0.07876996</v>
      </c>
    </row>
    <row r="21" spans="1:3" x14ac:dyDescent="0.25">
      <c r="A21" t="s">
        <v>23</v>
      </c>
      <c r="B21" s="5">
        <v>0.06734000000000001</v>
      </c>
      <c r="C21" s="6" t="s">
        <v>24</v>
      </c>
    </row>
    <row r="22" spans="1:2" x14ac:dyDescent="0.25">
      <c r="A22" t="s">
        <v>25</v>
      </c>
      <c r="B22" s="10">
        <v>56274661376</v>
      </c>
    </row>
    <row r="23" spans="1:2" x14ac:dyDescent="0.25">
      <c r="A23" t="s">
        <v>26</v>
      </c>
      <c r="B23" s="10">
        <v>35021000000</v>
      </c>
    </row>
    <row r="24" spans="1:2" x14ac:dyDescent="0.25">
      <c r="A24" t="s">
        <v>27</v>
      </c>
      <c r="B24" s="9">
        <f>B22/(B22+B23)</f>
        <v>0.6164001720107326</v>
      </c>
    </row>
    <row r="25" spans="1:2" x14ac:dyDescent="0.25">
      <c r="A25" t="s">
        <v>28</v>
      </c>
      <c r="B25" s="9">
        <f>1-B24</f>
        <v>0.3835998279892674</v>
      </c>
    </row>
    <row r="26" spans="1:2" x14ac:dyDescent="0.25">
      <c r="A26" t="s">
        <v>29</v>
      </c>
      <c r="B26" s="11">
        <f>B24*B20+B25*B21*(1-B8)</f>
        <v>0.06896079070254837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13702000000</v>
      </c>
      <c r="C29" s="6" t="s">
        <v>32</v>
      </c>
    </row>
    <row r="30" spans="1:2" x14ac:dyDescent="0.25">
      <c r="A30" t="s">
        <v>33</v>
      </c>
      <c r="B30" s="10">
        <v>34992000000</v>
      </c>
    </row>
    <row r="31" spans="1:2" x14ac:dyDescent="0.25">
      <c r="A31" t="s">
        <v>34</v>
      </c>
      <c r="B31" s="12">
        <v>653826000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0.0001997182893007654</v>
      </c>
      <c r="C5" s="5">
        <v>-0.005859436973897458</v>
      </c>
      <c r="D5" s="5">
        <v>-0.002002007352160276</v>
      </c>
      <c r="E5" s="5">
        <v>0.0018554222695769066</v>
      </c>
      <c r="F5" s="5">
        <v>0.00571285189131409</v>
      </c>
      <c r="G5" s="5">
        <v>0.009570281513051272</v>
      </c>
      <c r="H5" s="5">
        <v>0.013427711134788453</v>
      </c>
      <c r="I5" s="5">
        <v>0.017285140756525638</v>
      </c>
      <c r="J5" s="5">
        <v>0.02114257037826282</v>
      </c>
      <c r="K5" s="5">
        <v>0.025</v>
      </c>
    </row>
    <row r="6" spans="1:11" x14ac:dyDescent="0.25">
      <c r="A6" t="s">
        <v>50</v>
      </c>
      <c r="B6" s="18">
        <f>Assumptions!B29*(1+B5)</f>
        <v>13704736540</v>
      </c>
      <c r="C6" s="18">
        <f>B6*(1+C5)</f>
        <v>13624434500</v>
      </c>
      <c r="D6" s="18">
        <f>C6*(1+D5)</f>
        <v>13597158281.961973</v>
      </c>
      <c r="E6" s="18">
        <f>D6*(1+E5)</f>
        <v>13622386752.241285</v>
      </c>
      <c r="F6" s="18">
        <f>E6*(1+F5)</f>
        <v>13700209430.163038</v>
      </c>
      <c r="G6" s="18">
        <f>F6*(1+G5)</f>
        <v>13831324291.197456</v>
      </c>
      <c r="H6" s="18">
        <f>G6*(1+H5)</f>
        <v>14017047318.39124</v>
      </c>
      <c r="I6" s="18">
        <f>H6*(1+I5)</f>
        <v>14259333954.28051</v>
      </c>
      <c r="J6" s="18">
        <f>I6*(1+J5)</f>
        <v>14560812925.95604</v>
      </c>
      <c r="K6" s="18">
        <f>J6*(1+K5)</f>
        <v>14924833249.104939</v>
      </c>
    </row>
    <row r="7" spans="1:11" x14ac:dyDescent="0.25">
      <c r="A7" t="s">
        <v>4</v>
      </c>
      <c r="B7" s="9">
        <f>Assumptions!B7</f>
        <v>0.21219313888937757</v>
      </c>
      <c r="C7" s="9">
        <f>Assumptions!B7</f>
        <v>0.21219313888937757</v>
      </c>
      <c r="D7" s="9">
        <f>Assumptions!B7</f>
        <v>0.21219313888937757</v>
      </c>
      <c r="E7" s="9">
        <f>Assumptions!B7</f>
        <v>0.21219313888937757</v>
      </c>
      <c r="F7" s="9">
        <f>Assumptions!B7</f>
        <v>0.21219313888937757</v>
      </c>
      <c r="G7" s="9">
        <f>Assumptions!B7</f>
        <v>0.21219313888937757</v>
      </c>
      <c r="H7" s="9">
        <f>Assumptions!B7</f>
        <v>0.21219313888937757</v>
      </c>
      <c r="I7" s="9">
        <f>Assumptions!B7</f>
        <v>0.21219313888937757</v>
      </c>
      <c r="J7" s="9">
        <f>Assumptions!B7</f>
        <v>0.21219313888937757</v>
      </c>
      <c r="K7" s="9">
        <f>Assumptions!B7</f>
        <v>0.21219313888937757</v>
      </c>
    </row>
    <row r="8" spans="1:11" x14ac:dyDescent="0.25">
      <c r="A8" t="s">
        <v>51</v>
      </c>
      <c r="B8" s="18">
        <f>B6*B7</f>
        <v>2908051064.074548</v>
      </c>
      <c r="C8" s="18">
        <f>C6*C7</f>
        <v>2891011522.1477275</v>
      </c>
      <c r="D8" s="18">
        <f>D6*D7</f>
        <v>2885223695.8252077</v>
      </c>
      <c r="E8" s="18">
        <f>E6*E7</f>
        <v>2890577004.1231523</v>
      </c>
      <c r="F8" s="18">
        <f>F6*F7</f>
        <v>2907090442.428146</v>
      </c>
      <c r="G8" s="18">
        <f>G6*G7</f>
        <v>2934912116.3460836</v>
      </c>
      <c r="H8" s="18">
        <f>H6*H7</f>
        <v>2974321268.45037</v>
      </c>
      <c r="I8" s="18">
        <f>I6*I7</f>
        <v>3025732830.230662</v>
      </c>
      <c r="J8" s="18">
        <f>J6*J7</f>
        <v>3089704599.539634</v>
      </c>
      <c r="K8" s="18">
        <f>K6*K7</f>
        <v>3166947214.528125</v>
      </c>
    </row>
    <row r="9" spans="1:11" x14ac:dyDescent="0.25">
      <c r="A9" t="s">
        <v>52</v>
      </c>
      <c r="B9" s="18">
        <f>B8*(1-Assumptions!B8)</f>
        <v>2297360340.6188927</v>
      </c>
      <c r="C9" s="18">
        <f>C8*(1-Assumptions!B8)</f>
        <v>2283899102.496705</v>
      </c>
      <c r="D9" s="18">
        <f>D8*(1-Assumptions!B8)</f>
        <v>2279326719.7019143</v>
      </c>
      <c r="E9" s="18">
        <f>E8*(1-Assumptions!B8)</f>
        <v>2283555833.2572904</v>
      </c>
      <c r="F9" s="18">
        <f>F8*(1-Assumptions!B8)</f>
        <v>2296601449.518235</v>
      </c>
      <c r="G9" s="18">
        <f>G8*(1-Assumptions!B8)</f>
        <v>2318580571.9134064</v>
      </c>
      <c r="H9" s="18">
        <f>H8*(1-Assumptions!B8)</f>
        <v>2349713802.0757923</v>
      </c>
      <c r="I9" s="18">
        <f>I8*(1-Assumptions!B8)</f>
        <v>2390328935.882223</v>
      </c>
      <c r="J9" s="18">
        <f>J8*(1-Assumptions!B8)</f>
        <v>2440866633.636311</v>
      </c>
      <c r="K9" s="18">
        <f>K8*(1-Assumptions!B8)</f>
        <v>2501888299.4772186</v>
      </c>
    </row>
    <row r="10" spans="1:11" x14ac:dyDescent="0.25">
      <c r="A10" t="s">
        <v>53</v>
      </c>
      <c r="B10" s="18">
        <f>B6*Assumptions!B9</f>
        <v>2209572326.731368</v>
      </c>
      <c r="C10" s="18">
        <f>C6*Assumptions!B9</f>
        <v>2196625476.9436173</v>
      </c>
      <c r="D10" s="18">
        <f>D6*Assumptions!B9</f>
        <v>2192227816.588834</v>
      </c>
      <c r="E10" s="18">
        <f>E6*Assumptions!B9</f>
        <v>2196295324.8997183</v>
      </c>
      <c r="F10" s="18">
        <f>F6*Assumptions!B9</f>
        <v>2208842434.8004556</v>
      </c>
      <c r="G10" s="18">
        <f>G6*Assumptions!B9</f>
        <v>2229981678.719469</v>
      </c>
      <c r="H10" s="18">
        <f>H6*Assumptions!B9</f>
        <v>2259925228.537185</v>
      </c>
      <c r="I10" s="18">
        <f>I6*Assumptions!B9</f>
        <v>2298988354.2116733</v>
      </c>
      <c r="J10" s="18">
        <f>J6*Assumptions!B9</f>
        <v>2347594877.2894006</v>
      </c>
      <c r="K10" s="18">
        <f>K6*Assumptions!B9</f>
        <v>2406284749.2216353</v>
      </c>
    </row>
    <row r="11" spans="1:11" x14ac:dyDescent="0.25">
      <c r="A11" t="s">
        <v>54</v>
      </c>
      <c r="B11" s="18">
        <f>-B6*B19</f>
        <v>-7780055493.435232</v>
      </c>
      <c r="C11" s="18">
        <f>-C6*C19</f>
        <v>-7211149515.035959</v>
      </c>
      <c r="D11" s="18">
        <f>-D6*D19</f>
        <v>-6674441196.060424</v>
      </c>
      <c r="E11" s="18">
        <f>-E6*E19</f>
        <v>-6163584524.008998</v>
      </c>
      <c r="F11" s="18">
        <f>-F6*F19</f>
        <v>-5672566394.699992</v>
      </c>
      <c r="G11" s="18">
        <f>-G6*G19</f>
        <v>-5195588510.098959</v>
      </c>
      <c r="H11" s="18">
        <f>-H6*H19</f>
        <v>-4726953744.284427</v>
      </c>
      <c r="I11" s="18">
        <f>-I6*I19</f>
        <v>-4260953864.2559433</v>
      </c>
      <c r="J11" s="18">
        <f>-J6*J19</f>
        <v>-3791755528.96051</v>
      </c>
      <c r="K11" s="18">
        <f>-K6*K19</f>
        <v>-3313281418.6293</v>
      </c>
    </row>
    <row r="12" spans="1:11" x14ac:dyDescent="0.25">
      <c r="A12" t="s">
        <v>55</v>
      </c>
      <c r="B12" s="18">
        <f>-(B6-Assumptions!B29)*Assumptions!B11</f>
        <v>-121111.96573248484</v>
      </c>
      <c r="C12" s="18">
        <f>-(C6-B6)*Assumptions!B11</f>
        <v>3553954.2329834853</v>
      </c>
      <c r="D12" s="18">
        <f>-(D6-C6)*Assumptions!B11</f>
        <v>1207172.701416127</v>
      </c>
      <c r="E12" s="18">
        <f>-(E6-D6)*Assumptions!B11</f>
        <v>-1116544.84420146</v>
      </c>
      <c r="F12" s="18">
        <f>-(F6-E6)*Assumptions!B11</f>
        <v>-3444224.27652055</v>
      </c>
      <c r="G12" s="18">
        <f>-(G6-F6)*Assumptions!B11</f>
        <v>-5802794.242590994</v>
      </c>
      <c r="H12" s="18">
        <f>-(H6-G6)*Assumptions!B11</f>
        <v>-8219606.110353502</v>
      </c>
      <c r="I12" s="18">
        <f>-(I6-H6)*Assumptions!B11</f>
        <v>-10722960.652232526</v>
      </c>
      <c r="J12" s="18">
        <f>-(J6-I6)*Assumptions!B11</f>
        <v>-13342655.647873407</v>
      </c>
      <c r="K12" s="18">
        <f>-(K6-J6)*Assumptions!B11</f>
        <v>-16110569.150510324</v>
      </c>
    </row>
    <row r="13" spans="1:11" x14ac:dyDescent="0.25">
      <c r="A13" s="19" t="s">
        <v>56</v>
      </c>
      <c r="B13" s="20">
        <f>B9+B10+B11+B12</f>
        <v>-3273243938.050704</v>
      </c>
      <c r="C13" s="20">
        <f>C9+C10+C11+C12</f>
        <v>-2727070981.362653</v>
      </c>
      <c r="D13" s="20">
        <f>D9+D10+D11+D12</f>
        <v>-2201679487.0682592</v>
      </c>
      <c r="E13" s="20">
        <f>E9+E10+E11+E12</f>
        <v>-1684849910.6961904</v>
      </c>
      <c r="F13" s="20">
        <f>F9+F10+F11+F12</f>
        <v>-1170566734.6578214</v>
      </c>
      <c r="G13" s="20">
        <f>G9+G10+G11+G12</f>
        <v>-652829053.7086746</v>
      </c>
      <c r="H13" s="20">
        <f>H9+H10+H11+H12</f>
        <v>-125534319.7818022</v>
      </c>
      <c r="I13" s="20">
        <f>I9+I10+I11+I12</f>
        <v>417640465.18572104</v>
      </c>
      <c r="J13" s="20">
        <f>J9+J10+J11+J12</f>
        <v>983363326.3173285</v>
      </c>
      <c r="K13" s="20">
        <f>K9+K10+K11+K12</f>
        <v>1578781060.919044</v>
      </c>
    </row>
    <row r="14" spans="1:11" x14ac:dyDescent="0.25">
      <c r="A14" t="s">
        <v>57</v>
      </c>
      <c r="B14" s="21">
        <f>1/(1+Assumptions!$B$26)^(1-0.5*Assumptions!$B$32)</f>
        <v>0.9672062899517881</v>
      </c>
      <c r="C14" s="21">
        <f>1/(1+Assumptions!$B$26)^(2-0.5*Assumptions!$B$32)</f>
        <v>0.9048098848565955</v>
      </c>
      <c r="D14" s="21">
        <f>1/(1+Assumptions!$B$26)^(3-0.5*Assumptions!$B$32)</f>
        <v>0.8464387961900185</v>
      </c>
      <c r="E14" s="21">
        <f>1/(1+Assumptions!$B$26)^(4-0.5*Assumptions!$B$32)</f>
        <v>0.791833342768089</v>
      </c>
      <c r="F14" s="21">
        <f>1/(1+Assumptions!$B$26)^(5-0.5*Assumptions!$B$32)</f>
        <v>0.7407505959574775</v>
      </c>
      <c r="G14" s="21">
        <f>1/(1+Assumptions!$B$26)^(6-0.5*Assumptions!$B$32)</f>
        <v>0.6929632989350687</v>
      </c>
      <c r="H14" s="21">
        <f>1/(1+Assumptions!$B$26)^(7-0.5*Assumptions!$B$32)</f>
        <v>0.6482588556682565</v>
      </c>
      <c r="I14" s="21">
        <f>1/(1+Assumptions!$B$26)^(8-0.5*Assumptions!$B$32)</f>
        <v>0.6064383851181334</v>
      </c>
      <c r="J14" s="21">
        <f>1/(1+Assumptions!$B$26)^(9-0.5*Assumptions!$B$32)</f>
        <v>0.5673158364579177</v>
      </c>
      <c r="K14" s="21">
        <f>1/(1+Assumptions!$B$26)^(10-0.5*Assumptions!$B$32)</f>
        <v>0.5307171613704027</v>
      </c>
    </row>
    <row r="15" spans="1:11" x14ac:dyDescent="0.25">
      <c r="A15" s="19" t="s">
        <v>58</v>
      </c>
      <c r="B15" s="20">
        <f>B13*B14</f>
        <v>-3165902125.429202</v>
      </c>
      <c r="C15" s="20">
        <f>C13*C14</f>
        <v>-2467480780.6425047</v>
      </c>
      <c r="D15" s="20">
        <f>D13*D14</f>
        <v>-1863586934.6303148</v>
      </c>
      <c r="E15" s="20">
        <f>E13*E14</f>
        <v>-1334120336.8490808</v>
      </c>
      <c r="F15" s="20">
        <f>F13*F14</f>
        <v>-867098006.3057797</v>
      </c>
      <c r="G15" s="20">
        <f>G13*G14</f>
        <v>-452386574.6986223</v>
      </c>
      <c r="H15" s="20">
        <f>H13*H14</f>
        <v>-81378734.48884407</v>
      </c>
      <c r="I15" s="20">
        <f>I13*I14</f>
        <v>253273209.2672147</v>
      </c>
      <c r="J15" s="20">
        <f>J13*J14</f>
        <v>557877588.0117555</v>
      </c>
      <c r="K15" s="20">
        <f>K13*K14</f>
        <v>837886203.0763079</v>
      </c>
    </row>
    <row r="17" spans="1:2" x14ac:dyDescent="0.25">
      <c r="A17" s="22" t="s">
        <v>59</v>
      </c>
      <c r="B17" s="23">
        <f>SUM(B15:K15)</f>
        <v>-8582916492.689071</v>
      </c>
    </row>
    <row r="19" spans="1:11" x14ac:dyDescent="0.25">
      <c r="A19" t="s">
        <v>7</v>
      </c>
      <c r="B19" s="9">
        <f>Assumptions!$B$10+($B$20-Assumptions!$B$10)*0/9</f>
        <v>0.5676909928715224</v>
      </c>
      <c r="C19" s="9">
        <f>Assumptions!$B$10+($B$20-Assumptions!$B$10)*1/9</f>
        <v>0.5292806475774066</v>
      </c>
      <c r="D19" s="9">
        <f>Assumptions!$B$10+($B$20-Assumptions!$B$10)*2/9</f>
        <v>0.4908703022832907</v>
      </c>
      <c r="E19" s="9">
        <f>Assumptions!$B$10+($B$20-Assumptions!$B$10)*3/9</f>
        <v>0.4524599569891749</v>
      </c>
      <c r="F19" s="9">
        <f>Assumptions!$B$10+($B$20-Assumptions!$B$10)*4/9</f>
        <v>0.41404961169505905</v>
      </c>
      <c r="G19" s="9">
        <f>Assumptions!$B$10+($B$20-Assumptions!$B$10)*5/9</f>
        <v>0.37563926640094325</v>
      </c>
      <c r="H19" s="9">
        <f>Assumptions!$B$10+($B$20-Assumptions!$B$10)*6/9</f>
        <v>0.33722892110682745</v>
      </c>
      <c r="I19" s="9">
        <f>Assumptions!$B$10+($B$20-Assumptions!$B$10)*7/9</f>
        <v>0.2988185758127116</v>
      </c>
      <c r="J19" s="9">
        <f>Assumptions!$B$10+($B$20-Assumptions!$B$10)*8/9</f>
        <v>0.2604082305185958</v>
      </c>
      <c r="K19" s="9">
        <f>Assumptions!$B$10+($B$20-Assumptions!$B$10)*9/9</f>
        <v>0.22199788522447994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0.22199788522447994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1578781060.919044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2501888299.4772186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0.3625248455725168</v>
      </c>
    </row>
    <row r="7" spans="1:2" x14ac:dyDescent="0.25">
      <c r="A7" t="s">
        <v>66</v>
      </c>
      <c r="B7" s="18">
        <f>-MAX(B5,0)*B6</f>
        <v>-906996669.4076654</v>
      </c>
    </row>
    <row r="8" spans="1:2" x14ac:dyDescent="0.25">
      <c r="A8" t="s">
        <v>67</v>
      </c>
      <c r="B8" s="18">
        <f>IF(OR(Assumptions!$B$33=0,Assumptions!B12&lt;=0),B5,MAX(B5+B7,0))</f>
        <v>1594891630.0695534</v>
      </c>
    </row>
    <row r="9" spans="1:2" x14ac:dyDescent="0.25">
      <c r="A9" t="s">
        <v>68</v>
      </c>
      <c r="B9" s="18">
        <f>B8*(1+Assumptions!B12)/(Assumptions!B26-Assumptions!B12)</f>
        <v>37186863445.71428</v>
      </c>
    </row>
    <row r="10" spans="1:2" x14ac:dyDescent="0.25">
      <c r="A10" t="s">
        <v>69</v>
      </c>
      <c r="B10" s="18">
        <f>B9/(1+Assumptions!B26)^(10-0.5*Assumptions!B32)</f>
        <v>19735706608.178276</v>
      </c>
    </row>
    <row r="11" spans="1:2" x14ac:dyDescent="0.25">
      <c r="A11" t="s">
        <v>70</v>
      </c>
      <c r="B11" s="18">
        <f>Forecast!B17+B10</f>
        <v>11152790115.489204</v>
      </c>
    </row>
    <row r="12" spans="1:2" x14ac:dyDescent="0.25">
      <c r="A12" t="s">
        <v>71</v>
      </c>
      <c r="B12" s="18">
        <f>-Assumptions!B30</f>
        <v>-34992000000</v>
      </c>
    </row>
    <row r="13" spans="1:2" x14ac:dyDescent="0.25">
      <c r="A13" t="s">
        <v>72</v>
      </c>
      <c r="B13" s="18">
        <f>B11+B12</f>
        <v>-23839209884.510796</v>
      </c>
    </row>
    <row r="14" spans="1:2" x14ac:dyDescent="0.25">
      <c r="A14" s="19" t="s">
        <v>73</v>
      </c>
      <c r="B14" s="24">
        <f>B13/Assumptions!B31</f>
        <v>-36.4610919182027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5573231963.74976</v>
      </c>
    </row>
    <row r="18" spans="1:2" x14ac:dyDescent="0.25">
      <c r="A18" t="s">
        <v>68</v>
      </c>
      <c r="B18" s="18">
        <f>B17*Assumptions!B13</f>
        <v>90138272976.3333</v>
      </c>
    </row>
    <row r="19" spans="1:2" x14ac:dyDescent="0.25">
      <c r="A19" t="s">
        <v>69</v>
      </c>
      <c r="B19" s="18">
        <f>B18/(1+Assumptions!B26)^(10-0.5*Assumptions!B32)</f>
        <v>47837928364.830086</v>
      </c>
    </row>
    <row r="20" spans="1:2" x14ac:dyDescent="0.25">
      <c r="A20" t="s">
        <v>70</v>
      </c>
      <c r="B20" s="18">
        <f>Forecast!B17+B19</f>
        <v>39255011872.141014</v>
      </c>
    </row>
    <row r="21" spans="1:2" x14ac:dyDescent="0.25">
      <c r="A21" t="s">
        <v>71</v>
      </c>
      <c r="B21" s="18">
        <f>-Assumptions!B30</f>
        <v>-34992000000</v>
      </c>
    </row>
    <row r="22" spans="1:2" x14ac:dyDescent="0.25">
      <c r="A22" t="s">
        <v>72</v>
      </c>
      <c r="B22" s="18">
        <f>B20+B21</f>
        <v>4263011872.141014</v>
      </c>
    </row>
    <row r="23" spans="1:2" x14ac:dyDescent="0.25">
      <c r="A23" s="19" t="s">
        <v>73</v>
      </c>
      <c r="B23" s="25">
        <f>B22/Assumptions!B31</f>
        <v>6.520101482873141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86.06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-36.4610919182027</v>
      </c>
    </row>
    <row r="29" spans="1:2" x14ac:dyDescent="0.25">
      <c r="A29" s="19" t="s">
        <v>81</v>
      </c>
      <c r="B29" s="11">
        <f>B28/B26-1</f>
        <v>-1.423670600955179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0.048961</v>
      </c>
      <c r="B5" s="31">
        <v>-15.713029308656724</v>
      </c>
      <c r="C5" s="31">
        <v>-16.811907471653413</v>
      </c>
      <c r="D5" s="31">
        <v>-17.910785634650136</v>
      </c>
      <c r="E5" s="31">
        <v>-19.00966379764682</v>
      </c>
      <c r="F5" s="31">
        <v>-20.10854196064353</v>
      </c>
    </row>
    <row r="6" spans="1:6" x14ac:dyDescent="0.25">
      <c r="A6" s="30">
        <v>0.058961</v>
      </c>
      <c r="B6" s="31">
        <v>-27.17728840461825</v>
      </c>
      <c r="C6" s="31">
        <v>-28.03926890276021</v>
      </c>
      <c r="D6" s="31">
        <v>-28.90124940090218</v>
      </c>
      <c r="E6" s="31">
        <v>-29.76322989904414</v>
      </c>
      <c r="F6" s="31">
        <v>-30.625210397186112</v>
      </c>
    </row>
    <row r="7" spans="1:6" x14ac:dyDescent="0.25">
      <c r="A7" s="30">
        <v>0.068961</v>
      </c>
      <c r="B7" s="31">
        <v>-35.06761196732398</v>
      </c>
      <c r="C7" s="31">
        <v>-35.764418379402045</v>
      </c>
      <c r="D7" s="32">
        <v>-36.46122479148013</v>
      </c>
      <c r="E7" s="31">
        <v>-37.15803120355819</v>
      </c>
      <c r="F7" s="31">
        <v>-37.85483761563626</v>
      </c>
    </row>
    <row r="8" spans="1:6" x14ac:dyDescent="0.25">
      <c r="A8" s="30">
        <v>0.078961</v>
      </c>
      <c r="B8" s="31">
        <v>-40.75850622929781</v>
      </c>
      <c r="C8" s="31">
        <v>-41.33439688983354</v>
      </c>
      <c r="D8" s="31">
        <v>-41.910287550369276</v>
      </c>
      <c r="E8" s="31">
        <v>-42.486178210905</v>
      </c>
      <c r="F8" s="31">
        <v>-43.06206887144073</v>
      </c>
    </row>
    <row r="9" spans="1:6" x14ac:dyDescent="0.25">
      <c r="A9" s="30">
        <v>0.088961</v>
      </c>
      <c r="B9" s="31">
        <v>-45.00514199244943</v>
      </c>
      <c r="C9" s="31">
        <v>-45.48927685687114</v>
      </c>
      <c r="D9" s="31">
        <v>-45.97341172129284</v>
      </c>
      <c r="E9" s="31">
        <v>-46.457546585714546</v>
      </c>
      <c r="F9" s="31">
        <v>-46.94168145013626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13702000000</v>
      </c>
      <c r="C5" s="18">
        <v>13185000000</v>
      </c>
      <c r="D5" s="18">
        <v>16720000000</v>
      </c>
      <c r="E5" s="18">
        <v>14439000000</v>
      </c>
      <c r="F5" s="6" t="s">
        <v>91</v>
      </c>
    </row>
    <row r="6" spans="1:6" x14ac:dyDescent="0.25">
      <c r="A6" t="s">
        <v>51</v>
      </c>
      <c r="B6" s="18">
        <v>3080000000</v>
      </c>
      <c r="C6" s="18">
        <v>2962000000</v>
      </c>
      <c r="D6" s="18">
        <v>3716000000</v>
      </c>
      <c r="E6" s="18">
        <v>2557000000</v>
      </c>
      <c r="F6" s="6" t="s">
        <v>92</v>
      </c>
    </row>
    <row r="7" spans="1:6" x14ac:dyDescent="0.25">
      <c r="A7" t="s">
        <v>93</v>
      </c>
      <c r="B7" s="18">
        <v>2563000000</v>
      </c>
      <c r="C7" s="18">
        <v>2437000000</v>
      </c>
      <c r="D7" s="18">
        <v>2227000000</v>
      </c>
      <c r="E7" s="18">
        <v>2019000000</v>
      </c>
      <c r="F7" s="6" t="s">
        <v>94</v>
      </c>
    </row>
    <row r="8" spans="1:6" x14ac:dyDescent="0.25">
      <c r="A8" t="s">
        <v>95</v>
      </c>
      <c r="B8" s="18">
        <v>10612000000</v>
      </c>
      <c r="C8" s="18">
        <v>8215000000</v>
      </c>
      <c r="D8" s="18">
        <v>8397000000</v>
      </c>
      <c r="E8" s="18">
        <v>5357000000</v>
      </c>
      <c r="F8" s="6" t="s">
        <v>96</v>
      </c>
    </row>
    <row r="9" spans="1:6" x14ac:dyDescent="0.25">
      <c r="A9" t="s">
        <v>97</v>
      </c>
      <c r="B9" s="18">
        <v>975000000</v>
      </c>
      <c r="C9" s="18">
        <v>612000000</v>
      </c>
      <c r="D9" s="18">
        <v>-835000000</v>
      </c>
      <c r="E9" s="18">
        <v>4022000000</v>
      </c>
      <c r="F9" s="6" t="s">
        <v>98</v>
      </c>
    </row>
    <row r="10" spans="1:6" x14ac:dyDescent="0.25">
      <c r="A10" t="s">
        <v>99</v>
      </c>
      <c r="B10" s="18">
        <v>35021000000</v>
      </c>
      <c r="C10" s="18">
        <v>35848000000</v>
      </c>
      <c r="D10" s="18">
        <v>31076000000</v>
      </c>
      <c r="E10" s="18">
        <v>28919000000</v>
      </c>
      <c r="F10" s="6" t="s">
        <v>100</v>
      </c>
    </row>
    <row r="11" spans="1:6" x14ac:dyDescent="0.25">
      <c r="A11" t="s">
        <v>101</v>
      </c>
      <c r="B11" s="18">
        <v>29000000</v>
      </c>
      <c r="C11" s="18">
        <v>1565000000</v>
      </c>
      <c r="D11" s="18">
        <v>236000000</v>
      </c>
      <c r="E11" s="18">
        <v>370000000</v>
      </c>
      <c r="F11" s="6" t="s">
        <v>102</v>
      </c>
    </row>
    <row r="12" spans="1:6" x14ac:dyDescent="0.25">
      <c r="A12" t="s">
        <v>34</v>
      </c>
      <c r="B12" s="34">
        <v>653826000</v>
      </c>
      <c r="C12" s="34">
        <v>637943000</v>
      </c>
      <c r="D12" s="34">
        <v>632733000</v>
      </c>
      <c r="E12" s="34">
        <v>632757000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