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<sst xmlns="http://schemas.openxmlformats.org/spreadsheetml/2006/main" count="113" uniqueCount="101">
  <si>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Sempra (SRE)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</si>
  <si>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</si>
  <si>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</si>
  <si>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</si>
  <si>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</si>
  <si>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</si>
  <si>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</si>
  <si>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</si>
  <si>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</si>
  <si>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</si>
  <si>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</si>
  <si>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</si>
  <si>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</si>
  <si>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</si>
  <si>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</si>
  <si>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</si>
  <si>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</si>
  <si>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</si>
  <si>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</si>
  <si>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</si>
  <si>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</si>
  <si>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</si>
  <si>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</si>
  <si>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</si>
  <si>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</si>
  <si>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</si>
  <si>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</si>
  <si>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</si>
  <si>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</si>
  <si>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</si>
  <si>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</si>
  <si>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</si>
  <si>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</si>
  <si>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</si>
  <si>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</si>
  <si>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</si>
  <si>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</si>
  <si>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</si>
  <si>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</si>
  <si>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</si>
  <si>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</si>
  <si>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</si>
  <si>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</si>
  <si>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</si>
  <si>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</si>
  <si>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</si>
  <si>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</si>
  <si>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</si>
  <si>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</si>
  <si>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</si>
  <si>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</si>
  <si>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</si>
  <si>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</si>
  <si>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</si>
  <si>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</si>
  <si>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</si>
  <si>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</si>
  <si>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</si>
  <si>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</si>
  <si>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</si>
  <si>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</si>
  <si>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</si>
  <si>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</si>
  <si>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</si>
  <si>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</si>
  <si>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</si>
  <si>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</si>
  <si>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</si>
  <si>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</si>
  <si>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</si>
  <si>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</si>
  <si>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</si>
  <si>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</si>
  <si>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</si>
  <si>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</si>
  <si>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</si>
  <si>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</si>
  <si>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</si>
  <si>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</si>
  <si>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</si>
  <si>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</si>
  <si>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</si>
  <si>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</si>
  <si>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</si>
  <si>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</si>
  <si>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</si>
  <si>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</si>
  <si>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</si>
  <si>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</si>
  <si>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</si>
  <si>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</si>
  <si>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</si>
  <si>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</si>
  <si>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</si>
  <si>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</si>
  <si>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</si>
  <si>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</si>
  <si>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</si>
  <si>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</si>
  <si>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56.8% of revenue against depreciation of 16.1%.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</si>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</sst>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-0.017312084045800646</v>
      </c>
    </row>
    <row r="7" spans="1:2" x14ac:dyDescent="0.25">
      <c r="A7" t="s">
        <v>5</v>
      </c>
      <c r="B7" s="6">
        <v>0.21219313888937757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0.16122691014761878</v>
      </c>
    </row>
    <row r="10" spans="1:2" x14ac:dyDescent="0.25">
      <c r="A10" t="s">
        <v>8</v>
      </c>
      <c r="B10" s="6">
        <v>0.5676909928715224</v>
      </c>
    </row>
    <row r="11" spans="1:2" x14ac:dyDescent="0.25">
      <c r="A11" t="s">
        <v>9</v>
      </c>
      <c r="B11" s="6">
        <v>-0.17312588401697313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15.623008311890839</v>
      </c>
    </row>
    <row r="14" spans="1:3" x14ac:dyDescent="0.25">
      <c r="A14" t="s">
        <v>12</v>
      </c>
      <c r="B14" s="6">
        <v>0.06928456271707518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0.70788</v>
      </c>
      <c r="C19" s="8" t="s">
        <v>19</v>
      </c>
    </row>
    <row r="20" spans="1:2" x14ac:dyDescent="0.25">
      <c r="A20" t="s">
        <v>20</v>
      </c>
      <c r="B20" s="10">
        <f>B17+B19*B18</f>
        <v>0.0889134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53168635904</v>
      </c>
    </row>
    <row r="23" spans="1:2" x14ac:dyDescent="0.25">
      <c r="A23" t="s">
        <v>24</v>
      </c>
      <c r="B23" s="11">
        <v>35021000000</v>
      </c>
    </row>
    <row r="24" spans="1:2" x14ac:dyDescent="0.25">
      <c r="A24" t="s">
        <v>25</v>
      </c>
      <c r="B24" s="10">
        <f>B22/(B22+B23)</f>
        <v>0.602889844809853</v>
      </c>
    </row>
    <row r="25" spans="1:2" x14ac:dyDescent="0.25">
      <c r="A25" t="s">
        <v>26</v>
      </c>
      <c r="B25" s="10">
        <f>1-B24</f>
        <v>0.39711015519014703</v>
      </c>
    </row>
    <row r="26" spans="1:2" x14ac:dyDescent="0.25">
      <c r="A26" t="s">
        <v>27</v>
      </c>
      <c r="B26" s="12">
        <f>B24*B20+B25*B21*(1-B8)</f>
        <v>0.06928456271707518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13702000000</v>
      </c>
      <c r="C29" s="8" t="s">
        <v>30</v>
      </c>
    </row>
    <row r="30" spans="1:2" x14ac:dyDescent="0.25">
      <c r="A30" t="s">
        <v>31</v>
      </c>
      <c r="B30" s="11">
        <v>34992000000</v>
      </c>
    </row>
    <row r="31" spans="1:2" x14ac:dyDescent="0.25">
      <c r="A31" t="s">
        <v>32</v>
      </c>
      <c r="B31" s="13">
        <v>653826000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-0.017312084045800646</v>
      </c>
      <c r="C5" s="10">
        <f>Assumptions!B6</f>
        <v>-0.017312084045800646</v>
      </c>
      <c r="D5" s="10">
        <f>Assumptions!B6</f>
        <v>-0.017312084045800646</v>
      </c>
      <c r="E5" s="10">
        <f>Assumptions!B6</f>
        <v>-0.017312084045800646</v>
      </c>
      <c r="F5" s="10">
        <f>Assumptions!B6</f>
        <v>-0.017312084045800646</v>
      </c>
    </row>
    <row r="6" spans="1:6" x14ac:dyDescent="0.25">
      <c r="A6" t="s">
        <v>43</v>
      </c>
      <c r="B6" s="18">
        <f>Assumptions!B29*(1+B5)</f>
        <v>13464789824.40444</v>
      </c>
      <c r="C6" s="18">
        <f>B6*(1+C5)</f>
        <v>13231686251.30531</v>
      </c>
      <c r="D6" s="18">
        <f>C6*(1+D5)</f>
        <v>13002618186.855047</v>
      </c>
      <c r="E6" s="18">
        <f>D6*(1+E5)</f>
        <v>12777515767.988756</v>
      </c>
      <c r="F6" s="18">
        <f>E6*(1+F5)</f>
        <v>12556310341.116793</v>
      </c>
    </row>
    <row r="7" spans="1:6" x14ac:dyDescent="0.25">
      <c r="A7" t="s">
        <v>5</v>
      </c>
      <c r="B7" s="10">
        <f>Assumptions!B7</f>
        <v>0.21219313888937757</v>
      </c>
      <c r="C7" s="10">
        <f>Assumptions!B7</f>
        <v>0.21219313888937757</v>
      </c>
      <c r="D7" s="10">
        <f>Assumptions!B7</f>
        <v>0.21219313888937757</v>
      </c>
      <c r="E7" s="10">
        <f>Assumptions!B7</f>
        <v>0.21219313888937757</v>
      </c>
      <c r="F7" s="10">
        <f>Assumptions!B7</f>
        <v>0.21219313888937757</v>
      </c>
    </row>
    <row r="8" spans="1:6" x14ac:dyDescent="0.25">
      <c r="A8" t="s">
        <v>44</v>
      </c>
      <c r="B8" s="18">
        <f>B6*B7</f>
        <v>2857136017.3261294</v>
      </c>
      <c r="C8" s="18">
        <f>C6*C7</f>
        <v>2807673038.4638953</v>
      </c>
      <c r="D8" s="18">
        <f>D6*D7</f>
        <v>2759066366.84888</v>
      </c>
      <c r="E8" s="18">
        <f>E6*E7</f>
        <v>2711301178.01805</v>
      </c>
      <c r="F8" s="18">
        <f>F6*F7</f>
        <v>2664362904.1507235</v>
      </c>
    </row>
    <row r="9" spans="1:6" x14ac:dyDescent="0.25">
      <c r="A9" t="s">
        <v>45</v>
      </c>
      <c r="B9" s="18">
        <f>B8*(1-Assumptions!B8)</f>
        <v>2257137453.6876426</v>
      </c>
      <c r="C9" s="18">
        <f>C8*(1-Assumptions!B8)</f>
        <v>2218061700.3864775</v>
      </c>
      <c r="D9" s="18">
        <f>D8*(1-Assumptions!B8)</f>
        <v>2179662429.810615</v>
      </c>
      <c r="E9" s="18">
        <f>E8*(1-Assumptions!B8)</f>
        <v>2141927930.6342597</v>
      </c>
      <c r="F9" s="18">
        <f>F8*(1-Assumptions!B8)</f>
        <v>2104846694.2790716</v>
      </c>
    </row>
    <row r="10" spans="1:6" x14ac:dyDescent="0.25">
      <c r="A10" t="s">
        <v>46</v>
      </c>
      <c r="B10" s="18">
        <f>B6*Assumptions!B9</f>
        <v>2170886459.175826</v>
      </c>
      <c r="C10" s="18">
        <f>C6*Assumptions!B9</f>
        <v>2133303890.340684</v>
      </c>
      <c r="D10" s="18">
        <f>D6*Assumptions!B9</f>
        <v>2096371954.0958724</v>
      </c>
      <c r="E10" s="18">
        <f>E6*Assumptions!B9</f>
        <v>2060079386.6353054</v>
      </c>
      <c r="F10" s="18">
        <f>F6*Assumptions!B9</f>
        <v>2024415119.1528537</v>
      </c>
    </row>
    <row r="11" spans="1:6" x14ac:dyDescent="0.25">
      <c r="A11" t="s">
        <v>47</v>
      </c>
      <c r="B11" s="18">
        <f>-B6*Assumptions!B10</f>
        <v>-7643839904.2225275</v>
      </c>
      <c r="C11" s="18">
        <f>-C6*Assumptions!B10</f>
        <v>-7511509105.367983</v>
      </c>
      <c r="D11" s="18">
        <f>-D6*Assumptions!B10</f>
        <v>-7381469228.4250555</v>
      </c>
      <c r="E11" s="18">
        <f>-E6*Assumptions!B10</f>
        <v>-7253680612.761069</v>
      </c>
      <c r="F11" s="18">
        <f>-F6*Assumptions!B10</f>
        <v>-7128104284.351556</v>
      </c>
    </row>
    <row r="12" spans="1:6" x14ac:dyDescent="0.25">
      <c r="A12" t="s">
        <v>48</v>
      </c>
      <c r="B12" s="18">
        <f>-(B6-Assumptions!B29)*Assumptions!B11</f>
        <v>-41067221.347802766</v>
      </c>
      <c r="C12" s="18">
        <f>-(C6-B6)*Assumptions!B11</f>
        <v>-40356262.1603021</v>
      </c>
      <c r="D12" s="18">
        <f>-(D6-C6)*Assumptions!B11</f>
        <v>-39657611.1580086</v>
      </c>
      <c r="E12" s="18">
        <f>-(E6-D6)*Assumptions!B11</f>
        <v>-38971055.260585606</v>
      </c>
      <c r="F12" s="18">
        <f>-(F6-E6)*Assumptions!B11</f>
        <v>-38296385.07656059</v>
      </c>
    </row>
    <row r="13" spans="1:6" x14ac:dyDescent="0.25">
      <c r="A13" s="19" t="s">
        <v>49</v>
      </c>
      <c r="B13" s="20">
        <f>B9+B10+B11+B12</f>
        <v>-3256883212.706862</v>
      </c>
      <c r="C13" s="20">
        <f>C9+C10+C11+C12</f>
        <v>-3200499776.8011236</v>
      </c>
      <c r="D13" s="20">
        <f>D9+D10+D11+D12</f>
        <v>-3145092455.6765766</v>
      </c>
      <c r="E13" s="20">
        <f>E9+E10+E11+E12</f>
        <v>-3090644350.75209</v>
      </c>
      <c r="F13" s="20">
        <f>F9+F10+F11+F12</f>
        <v>-3037138855.996191</v>
      </c>
    </row>
    <row r="14" spans="1:6" x14ac:dyDescent="0.25">
      <c r="A14" t="s">
        <v>50</v>
      </c>
      <c r="B14" s="21">
        <f>1/(1+Assumptions!$B$26)^(1-0.5*Assumptions!$B$32)</f>
        <v>0.9670598471578331</v>
      </c>
      <c r="C14" s="21">
        <f>1/(1+Assumptions!$B$26)^(2-0.5*Assumptions!$B$32)</f>
        <v>0.9043989606475875</v>
      </c>
      <c r="D14" s="21">
        <f>1/(1+Assumptions!$B$26)^(3-0.5*Assumptions!$B$32)</f>
        <v>0.8457982020702611</v>
      </c>
      <c r="E14" s="21">
        <f>1/(1+Assumptions!$B$26)^(4-0.5*Assumptions!$B$32)</f>
        <v>0.7909944944132267</v>
      </c>
      <c r="F14" s="21">
        <f>1/(1+Assumptions!$B$26)^(5-0.5*Assumptions!$B$32)</f>
        <v>0.7397418068051899</v>
      </c>
    </row>
    <row r="15" spans="1:6" x14ac:dyDescent="0.25">
      <c r="A15" s="19" t="s">
        <v>51</v>
      </c>
      <c r="B15" s="20">
        <f>B13*B14</f>
        <v>-3149600981.8912106</v>
      </c>
      <c r="C15" s="20">
        <f>C13*C14</f>
        <v>-2894528671.691772</v>
      </c>
      <c r="D15" s="20">
        <f>D13*D14</f>
        <v>-2660113544.355991</v>
      </c>
      <c r="E15" s="20">
        <f>E13*E14</f>
        <v>-2444682665.6342444</v>
      </c>
      <c r="F15" s="20">
        <f>F13*F14</f>
        <v>-2246698584.8528695</v>
      </c>
    </row>
    <row r="17" spans="1:2" x14ac:dyDescent="0.25">
      <c r="A17" s="22" t="s">
        <v>52</v>
      </c>
      <c r="B17" s="23">
        <f>SUM(B15:F15)</f>
        <v>-13395624448.426088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-3037138855.996191</v>
      </c>
    </row>
    <row r="5" spans="1:2" x14ac:dyDescent="0.25">
      <c r="A5" t="s">
        <v>56</v>
      </c>
      <c r="B5" s="18">
        <f>IF(Assumptions!$B$33=0,B4,B4-Forecast!F11-Forecast!F10-Forecast!F12)</f>
        <v>2104846694.2790716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0.36083073948359856</v>
      </c>
    </row>
    <row r="7" spans="1:2" x14ac:dyDescent="0.25">
      <c r="A7" t="s">
        <v>58</v>
      </c>
      <c r="B7" s="18">
        <f>-MAX(Forecast!F9,0)*B6</f>
        <v>-759493389.1963253</v>
      </c>
    </row>
    <row r="8" spans="1:2" x14ac:dyDescent="0.25">
      <c r="A8" t="s">
        <v>59</v>
      </c>
      <c r="B8" s="18">
        <f>IF(OR(Assumptions!$B$33=0,Assumptions!B12&lt;=0),B5,MAX(B5+B7,0))</f>
        <v>1345353305.0827463</v>
      </c>
    </row>
    <row r="9" spans="1:2" x14ac:dyDescent="0.25">
      <c r="A9" t="s">
        <v>60</v>
      </c>
      <c r="B9" s="18">
        <f>B8*(1+Assumptions!B12)/(Assumptions!B26-Assumptions!B12)</f>
        <v>31139228957.04933</v>
      </c>
    </row>
    <row r="10" spans="1:2" x14ac:dyDescent="0.25">
      <c r="A10" t="s">
        <v>61</v>
      </c>
      <c r="B10" s="18">
        <f>B9/(1+Assumptions!B26)^(5-0.5*Assumptions!B32)</f>
        <v>23034989491.20816</v>
      </c>
    </row>
    <row r="11" spans="1:2" x14ac:dyDescent="0.25">
      <c r="A11" t="s">
        <v>62</v>
      </c>
      <c r="B11" s="18">
        <f>Forecast!B17+B10</f>
        <v>9639365042.782072</v>
      </c>
    </row>
    <row r="12" spans="1:2" x14ac:dyDescent="0.25">
      <c r="A12" t="s">
        <v>63</v>
      </c>
      <c r="B12" s="18">
        <f>-Assumptions!B30</f>
        <v>-34992000000</v>
      </c>
    </row>
    <row r="13" spans="1:2" x14ac:dyDescent="0.25">
      <c r="A13" t="s">
        <v>64</v>
      </c>
      <c r="B13" s="18">
        <f>B11+B12</f>
        <v>-25352634957.217926</v>
      </c>
    </row>
    <row r="14" spans="1:2" x14ac:dyDescent="0.25">
      <c r="A14" s="19" t="s">
        <v>65</v>
      </c>
      <c r="B14" s="24">
        <f>B13/Assumptions!B31</f>
        <v>-38.77581337728681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4688778023.303577</v>
      </c>
    </row>
    <row r="18" spans="1:2" x14ac:dyDescent="0.25">
      <c r="A18" t="s">
        <v>60</v>
      </c>
      <c r="B18" s="18">
        <f>B17*Assumptions!B13</f>
        <v>73252818030.68289</v>
      </c>
    </row>
    <row r="19" spans="1:2" x14ac:dyDescent="0.25">
      <c r="A19" t="s">
        <v>61</v>
      </c>
      <c r="B19" s="18">
        <f>B18/(1+Assumptions!B26)^(5-0.5*Assumptions!B32)</f>
        <v>54188171963.58915</v>
      </c>
    </row>
    <row r="20" spans="1:2" x14ac:dyDescent="0.25">
      <c r="A20" t="s">
        <v>62</v>
      </c>
      <c r="B20" s="18">
        <f>Forecast!B17+B19</f>
        <v>40792547515.16306</v>
      </c>
    </row>
    <row r="21" spans="1:2" x14ac:dyDescent="0.25">
      <c r="A21" t="s">
        <v>63</v>
      </c>
      <c r="B21" s="18">
        <f>-Assumptions!B30</f>
        <v>-34992000000</v>
      </c>
    </row>
    <row r="22" spans="1:2" x14ac:dyDescent="0.25">
      <c r="A22" t="s">
        <v>64</v>
      </c>
      <c r="B22" s="18">
        <f>B20+B21</f>
        <v>5800547515.163063</v>
      </c>
    </row>
    <row r="23" spans="1:2" x14ac:dyDescent="0.25">
      <c r="A23" s="19" t="s">
        <v>65</v>
      </c>
      <c r="B23" s="25">
        <f>B22/Assumptions!B31</f>
        <v>8.871699068503032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81.31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-38.77581337728681</v>
      </c>
    </row>
    <row r="29" spans="1:2" x14ac:dyDescent="0.25">
      <c r="A29" s="19" t="s">
        <v>73</v>
      </c>
      <c r="B29" s="12">
        <f>B28/B26-1</f>
        <v>-1.4768886161270054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0.049285</v>
      </c>
      <c r="B5" s="31">
        <v>-21.542972770473643</v>
      </c>
      <c r="C5" s="31">
        <v>-21.279950249347024</v>
      </c>
      <c r="D5" s="31">
        <v>-21.01692772822043</v>
      </c>
      <c r="E5" s="31">
        <v>-20.753905207093812</v>
      </c>
      <c r="F5" s="31">
        <v>-20.49088268596723</v>
      </c>
    </row>
    <row r="6" spans="1:6" x14ac:dyDescent="0.25">
      <c r="A6" s="30">
        <v>0.059285</v>
      </c>
      <c r="B6" s="31">
        <v>-31.929913291634296</v>
      </c>
      <c r="C6" s="31">
        <v>-31.720393158290975</v>
      </c>
      <c r="D6" s="31">
        <v>-31.510873024947642</v>
      </c>
      <c r="E6" s="31">
        <v>-31.30135289160433</v>
      </c>
      <c r="F6" s="31">
        <v>-31.091832758261003</v>
      </c>
    </row>
    <row r="7" spans="1:6" x14ac:dyDescent="0.25">
      <c r="A7" s="30">
        <v>0.069285</v>
      </c>
      <c r="B7" s="31">
        <v>-39.11979598509403</v>
      </c>
      <c r="C7" s="31">
        <v>-38.94793850859023</v>
      </c>
      <c r="D7" s="32">
        <v>-38.776081032086424</v>
      </c>
      <c r="E7" s="31">
        <v>-38.60422355558262</v>
      </c>
      <c r="F7" s="31">
        <v>-38.43236607907881</v>
      </c>
    </row>
    <row r="8" spans="1:6" x14ac:dyDescent="0.25">
      <c r="A8" s="30">
        <v>0.079285</v>
      </c>
      <c r="B8" s="31">
        <v>-44.3325199667034</v>
      </c>
      <c r="C8" s="31">
        <v>-44.188499364952925</v>
      </c>
      <c r="D8" s="31">
        <v>-44.04447876320246</v>
      </c>
      <c r="E8" s="31">
        <v>-43.900458161451986</v>
      </c>
      <c r="F8" s="31">
        <v>-43.756437559701524</v>
      </c>
    </row>
    <row r="9" spans="1:6" x14ac:dyDescent="0.25">
      <c r="A9" s="30">
        <v>0.089285</v>
      </c>
      <c r="B9" s="31">
        <v>-48.24085411384879</v>
      </c>
      <c r="C9" s="31">
        <v>-48.11816305068089</v>
      </c>
      <c r="D9" s="31">
        <v>-47.99547198751299</v>
      </c>
      <c r="E9" s="31">
        <v>-47.87278092434509</v>
      </c>
      <c r="F9" s="31">
        <v>-47.7500898611772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13702000000</v>
      </c>
      <c r="C5" s="18">
        <v>13185000000</v>
      </c>
      <c r="D5" s="18">
        <v>16720000000</v>
      </c>
      <c r="E5" s="18">
        <v>14439000000</v>
      </c>
      <c r="F5" s="8" t="s">
        <v>84</v>
      </c>
    </row>
    <row r="6" spans="1:6" x14ac:dyDescent="0.25">
      <c r="A6" t="s">
        <v>44</v>
      </c>
      <c r="B6" s="18">
        <v>3080000000</v>
      </c>
      <c r="C6" s="18">
        <v>2962000000</v>
      </c>
      <c r="D6" s="18">
        <v>3716000000</v>
      </c>
      <c r="E6" s="18">
        <v>2557000000</v>
      </c>
      <c r="F6" s="8" t="s">
        <v>85</v>
      </c>
    </row>
    <row r="7" spans="1:6" x14ac:dyDescent="0.25">
      <c r="A7" t="s">
        <v>86</v>
      </c>
      <c r="B7" s="18">
        <v>2563000000</v>
      </c>
      <c r="C7" s="18">
        <v>2437000000</v>
      </c>
      <c r="D7" s="18">
        <v>2227000000</v>
      </c>
      <c r="E7" s="18">
        <v>2019000000</v>
      </c>
      <c r="F7" s="8" t="s">
        <v>87</v>
      </c>
    </row>
    <row r="8" spans="1:6" x14ac:dyDescent="0.25">
      <c r="A8" t="s">
        <v>88</v>
      </c>
      <c r="B8" s="18">
        <v>10612000000</v>
      </c>
      <c r="C8" s="18">
        <v>8215000000</v>
      </c>
      <c r="D8" s="18">
        <v>8397000000</v>
      </c>
      <c r="E8" s="18">
        <v>5357000000</v>
      </c>
      <c r="F8" s="8" t="s">
        <v>89</v>
      </c>
    </row>
    <row r="9" spans="1:6" x14ac:dyDescent="0.25">
      <c r="A9" t="s">
        <v>90</v>
      </c>
      <c r="B9" s="18">
        <v>975000000</v>
      </c>
      <c r="C9" s="18">
        <v>612000000</v>
      </c>
      <c r="D9" s="18">
        <v>-835000000</v>
      </c>
      <c r="E9" s="18">
        <v>4022000000</v>
      </c>
      <c r="F9" s="8" t="s">
        <v>91</v>
      </c>
    </row>
    <row r="10" spans="1:6" x14ac:dyDescent="0.25">
      <c r="A10" t="s">
        <v>92</v>
      </c>
      <c r="B10" s="18">
        <v>35021000000</v>
      </c>
      <c r="C10" s="18">
        <v>35848000000</v>
      </c>
      <c r="D10" s="18">
        <v>31076000000</v>
      </c>
      <c r="E10" s="18">
        <v>28919000000</v>
      </c>
      <c r="F10" s="8" t="s">
        <v>93</v>
      </c>
    </row>
    <row r="11" spans="1:6" x14ac:dyDescent="0.25">
      <c r="A11" t="s">
        <v>94</v>
      </c>
      <c r="B11" s="18">
        <v>29000000</v>
      </c>
      <c r="C11" s="18">
        <v>1565000000</v>
      </c>
      <c r="D11" s="18">
        <v>236000000</v>
      </c>
      <c r="E11" s="18">
        <v>370000000</v>
      </c>
      <c r="F11" s="8" t="s">
        <v>95</v>
      </c>
    </row>
    <row r="12" spans="1:6" x14ac:dyDescent="0.25">
      <c r="A12" t="s">
        <v>32</v>
      </c>
      <c r="B12" s="34">
        <v>653826000</v>
      </c>
      <c r="C12" s="34">
        <v>637943000</v>
      </c>
      <c r="D12" s="34">
        <v>632733000</v>
      </c>
      <c r="E12" s="34">
        <v>632756000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