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<sst xmlns="http://schemas.openxmlformats.org/spreadsheetml/2006/main" count="123" uniqueCount="105">
  <si>
    <t>Swiss Re AG (SREN.SW)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</si>
  <si>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</si>
  <si>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</si>
  <si>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</si>
  <si>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</si>
  <si>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</si>
  <si>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</si>
  <si>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</si>
  <si>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</si>
  <si>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</si>
  <si>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</si>
  <si>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</si>
  <si>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</si>
  <si>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</si>
  <si>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</si>
  <si>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</si>
  <si>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</si>
  <si>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</si>
  <si>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</si>
  <si>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</si>
  <si>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</si>
  <si>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</si>
  <si>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</si>
  <si>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</si>
  <si>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</si>
  <si>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</si>
  <si>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</si>
  <si>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</si>
  <si>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</si>
  <si>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</si>
  <si>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</si>
  <si>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</si>
  <si>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</si>
  <si>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</si>
  <si>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</si>
  <si>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</si>
  <si>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</si>
  <si>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</si>
  <si>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</si>
  <si>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</si>
  <si>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</si>
  <si>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</si>
  <si>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</si>
  <si>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</si>
  <si>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</si>
  <si>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</si>
  <si>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</si>
  <si>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</si>
  <si>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</si>
  <si>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</si>
  <si>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</si>
  <si>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</si>
  <si>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</si>
  <si>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</si>
  <si>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</si>
  <si>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</si>
  <si>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</si>
  <si>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</si>
  <si>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</si>
  <si>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</si>
  <si>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</si>
  <si>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</si>
  <si>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</si>
  <si>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</si>
  <si>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</si>
  <si>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</si>
  <si>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</si>
  <si>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</si>
  <si>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</si>
  <si>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</si>
  <si>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</si>
  <si>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</si>
  <si>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</si>
  <si>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</si>
  <si>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</si>
  <si>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</si>
  <si>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</si>
  <si>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</si>
  <si>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</si>
  <si>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</si>
  <si>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</si>
  <si>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</si>
  <si>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</si>
  <si>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</si>
  <si>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</si>
  <si>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</si>
  <si>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</si>
  <si>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</si>
  <si>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</si>
  <si>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</si>
  <si>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</si>
  <si>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</si>
  <si>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</si>
  <si>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</si>
  <si>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</si>
  <si>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</si>
  <si>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</si>
  <si>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</si>
  <si>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</si>
  <si>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USD, trades in CHF. Modelled in USD, converted at the end.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</si>
  <si>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</si>
  <si>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-0.2%.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</si>
  <si>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CHF assumption - no free live source available for this market.</t>
  </si>
  <si>
    <t>No usable EV/EBITDA (EBITDA is not positive), so the exit multiple falls back to 8x.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</si>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</sst>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0.0032328821989400236</v>
      </c>
    </row>
    <row r="7" spans="1:2" x14ac:dyDescent="0.25">
      <c r="A7" t="s">
        <v>5</v>
      </c>
      <c r="B7" s="6">
        <v>0.08080116328159698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-0.002447553608894142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-0.1615804690009637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0.11295634761179349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0.5638299999999999</v>
      </c>
      <c r="C19" s="8" t="s">
        <v>19</v>
      </c>
    </row>
    <row r="20" spans="1:2" x14ac:dyDescent="0.25">
      <c r="A20" t="s">
        <v>20</v>
      </c>
      <c r="B20" s="10">
        <f>B17+B19*B18</f>
        <v>0.03601065</v>
      </c>
    </row>
    <row r="21" spans="1:3" x14ac:dyDescent="0.25">
      <c r="A21" t="s">
        <v>21</v>
      </c>
      <c r="B21" s="6">
        <v>0.05481706545132295</v>
      </c>
      <c r="C21" s="8" t="s">
        <v>22</v>
      </c>
    </row>
    <row r="22" spans="1:2" x14ac:dyDescent="0.25">
      <c r="A22" t="s">
        <v>23</v>
      </c>
      <c r="B22" s="11">
        <v>40920092672</v>
      </c>
    </row>
    <row r="23" spans="1:2" x14ac:dyDescent="0.25">
      <c r="A23" t="s">
        <v>24</v>
      </c>
      <c r="B23" s="11">
        <v>8537000000</v>
      </c>
    </row>
    <row r="24" spans="1:2" x14ac:dyDescent="0.25">
      <c r="A24" t="s">
        <v>25</v>
      </c>
      <c r="B24" s="10">
        <f>B22/(B22+B23)</f>
        <v>0.8273857289465542</v>
      </c>
    </row>
    <row r="25" spans="1:2" x14ac:dyDescent="0.25">
      <c r="A25" t="s">
        <v>26</v>
      </c>
      <c r="B25" s="10">
        <f>1-B24</f>
        <v>0.17261427105344584</v>
      </c>
    </row>
    <row r="26" spans="1:2" x14ac:dyDescent="0.25">
      <c r="A26" t="s">
        <v>27</v>
      </c>
      <c r="B26" s="12">
        <f>B24*B20+B25*B21*(1-B8)</f>
        <v>0.037837574525133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46491000000</v>
      </c>
      <c r="C29" s="8" t="s">
        <v>30</v>
      </c>
    </row>
    <row r="30" spans="1:2" x14ac:dyDescent="0.25">
      <c r="A30" t="s">
        <v>31</v>
      </c>
      <c r="B30" s="11">
        <v>-83385000000</v>
      </c>
    </row>
    <row r="31" spans="1:2" x14ac:dyDescent="0.25">
      <c r="A31" t="s">
        <v>32</v>
      </c>
      <c r="B31" s="13">
        <v>294919585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0.0032328821989400236</v>
      </c>
      <c r="C5" s="10">
        <f>Assumptions!B6</f>
        <v>0.0032328821989400236</v>
      </c>
      <c r="D5" s="10">
        <f>Assumptions!B6</f>
        <v>0.0032328821989400236</v>
      </c>
      <c r="E5" s="10">
        <f>Assumptions!B6</f>
        <v>0.0032328821989400236</v>
      </c>
      <c r="F5" s="10">
        <f>Assumptions!B6</f>
        <v>0.0032328821989400236</v>
      </c>
    </row>
    <row r="6" spans="1:6" x14ac:dyDescent="0.25">
      <c r="A6" t="s">
        <v>43</v>
      </c>
      <c r="B6" s="18">
        <f>Assumptions!B29*(1+B5)</f>
        <v>46641299926.31092</v>
      </c>
      <c r="C6" s="18">
        <f>B6*(1+C5)</f>
        <v>46792085754.57812</v>
      </c>
      <c r="D6" s="18">
        <f>C6*(1+D5)</f>
        <v>46943359055.66537</v>
      </c>
      <c r="E6" s="18">
        <f>D6*(1+E5)</f>
        <v>47095121405.51488</v>
      </c>
      <c r="F6" s="18">
        <f>E6*(1+F5)</f>
        <v>47247374385.16369</v>
      </c>
    </row>
    <row r="7" spans="1:6" x14ac:dyDescent="0.25">
      <c r="A7" t="s">
        <v>5</v>
      </c>
      <c r="B7" s="10">
        <f>Assumptions!B7</f>
        <v>0.08080116328159698</v>
      </c>
      <c r="C7" s="10">
        <f>Assumptions!B7</f>
        <v>0.08080116328159698</v>
      </c>
      <c r="D7" s="10">
        <f>Assumptions!B7</f>
        <v>0.08080116328159698</v>
      </c>
      <c r="E7" s="10">
        <f>Assumptions!B7</f>
        <v>0.08080116328159698</v>
      </c>
      <c r="F7" s="10">
        <f>Assumptions!B7</f>
        <v>0.08080116328159698</v>
      </c>
    </row>
    <row r="8" spans="1:6" x14ac:dyDescent="0.25">
      <c r="A8" t="s">
        <v>44</v>
      </c>
      <c r="B8" s="18">
        <f>B6*B7</f>
        <v>3768671291.011786</v>
      </c>
      <c r="C8" s="18">
        <f>C6*C7</f>
        <v>3780854961.3421545</v>
      </c>
      <c r="D8" s="18">
        <f>D6*D7</f>
        <v>3793078020.0434513</v>
      </c>
      <c r="E8" s="18">
        <f>E6*E7</f>
        <v>3805340594.4536405</v>
      </c>
      <c r="F8" s="18">
        <f>F6*F7</f>
        <v>3817642812.322354</v>
      </c>
    </row>
    <row r="9" spans="1:6" x14ac:dyDescent="0.25">
      <c r="A9" t="s">
        <v>45</v>
      </c>
      <c r="B9" s="18">
        <f>B8*(1-Assumptions!B8)</f>
        <v>3203370597.360018</v>
      </c>
      <c r="C9" s="18">
        <f>C8*(1-Assumptions!B8)</f>
        <v>3213726717.1408315</v>
      </c>
      <c r="D9" s="18">
        <f>D8*(1-Assumptions!B8)</f>
        <v>3224116317.0369334</v>
      </c>
      <c r="E9" s="18">
        <f>E8*(1-Assumptions!B8)</f>
        <v>3234539505.2855945</v>
      </c>
      <c r="F9" s="18">
        <f>F8*(1-Assumptions!B8)</f>
        <v>3244996390.4740005</v>
      </c>
    </row>
    <row r="10" spans="1:6" x14ac:dyDescent="0.25">
      <c r="A10" t="s">
        <v>46</v>
      </c>
      <c r="B10" s="18">
        <f>B6*Assumptions!B9</f>
        <v>-114157081.95815638</v>
      </c>
      <c r="C10" s="18">
        <f>C6*Assumptions!B9</f>
        <v>-114526138.35630184</v>
      </c>
      <c r="D10" s="18">
        <f>D6*Assumptions!B9</f>
        <v>-114896387.87030727</v>
      </c>
      <c r="E10" s="18">
        <f>E6*Assumptions!B9</f>
        <v>-115267834.3573757</v>
      </c>
      <c r="F10" s="18">
        <f>F6*Assumptions!B9</f>
        <v>-115640481.68718003</v>
      </c>
    </row>
    <row r="11" spans="1:6" x14ac:dyDescent="0.25">
      <c r="A11" t="s">
        <v>47</v>
      </c>
      <c r="B11" s="18">
        <f>-B6*Assumptions!B10</f>
        <v>-466412999.2631092</v>
      </c>
      <c r="C11" s="18">
        <f>-C6*Assumptions!B10</f>
        <v>-467920857.5457812</v>
      </c>
      <c r="D11" s="18">
        <f>-D6*Assumptions!B10</f>
        <v>-469433590.5566537</v>
      </c>
      <c r="E11" s="18">
        <f>-E6*Assumptions!B10</f>
        <v>-470951214.0551488</v>
      </c>
      <c r="F11" s="18">
        <f>-F6*Assumptions!B10</f>
        <v>-472473743.8516369</v>
      </c>
    </row>
    <row r="12" spans="1:6" x14ac:dyDescent="0.25">
      <c r="A12" t="s">
        <v>48</v>
      </c>
      <c r="B12" s="18">
        <f>-(B6-Assumptions!B29)*Assumptions!B11</f>
        <v>24285532.584128853</v>
      </c>
      <c r="C12" s="18">
        <f>-(C6-B6)*Assumptions!B11</f>
        <v>24364044.850112405</v>
      </c>
      <c r="D12" s="18">
        <f>-(D6-C6)*Assumptions!B11</f>
        <v>24442810.93700181</v>
      </c>
      <c r="E12" s="18">
        <f>-(E6-D6)*Assumptions!B11</f>
        <v>24521831.66537219</v>
      </c>
      <c r="F12" s="18">
        <f>-(F6-E6)*Assumptions!B11</f>
        <v>24601107.85844912</v>
      </c>
    </row>
    <row r="13" spans="1:6" x14ac:dyDescent="0.25">
      <c r="A13" s="19" t="s">
        <v>49</v>
      </c>
      <c r="B13" s="20">
        <f>B9+B10+B11+B12</f>
        <v>2647086048.722881</v>
      </c>
      <c r="C13" s="20">
        <f>C9+C10+C11+C12</f>
        <v>2655643766.088861</v>
      </c>
      <c r="D13" s="20">
        <f>D9+D10+D11+D12</f>
        <v>2664229149.546974</v>
      </c>
      <c r="E13" s="20">
        <f>E9+E10+E11+E12</f>
        <v>2672842288.5384426</v>
      </c>
      <c r="F13" s="20">
        <f>F9+F10+F11+F12</f>
        <v>2681483272.7936325</v>
      </c>
    </row>
    <row r="14" spans="1:6" x14ac:dyDescent="0.25">
      <c r="A14" t="s">
        <v>50</v>
      </c>
      <c r="B14" s="21">
        <f>1/(1+Assumptions!$B$26)^(1-0.5*Assumptions!$B$32)</f>
        <v>0.9816017069715938</v>
      </c>
      <c r="C14" s="21">
        <f>1/(1+Assumptions!$B$26)^(2-0.5*Assumptions!$B$32)</f>
        <v>0.9458143847034349</v>
      </c>
      <c r="D14" s="21">
        <f>1/(1+Assumptions!$B$26)^(3-0.5*Assumptions!$B$32)</f>
        <v>0.911331799810964</v>
      </c>
      <c r="E14" s="21">
        <f>1/(1+Assumptions!$B$26)^(4-0.5*Assumptions!$B$32)</f>
        <v>0.8781063840629857</v>
      </c>
      <c r="F14" s="21">
        <f>1/(1+Assumptions!$B$26)^(5-0.5*Assumptions!$B$32)</f>
        <v>0.8460923034751051</v>
      </c>
    </row>
    <row r="15" spans="1:6" x14ac:dyDescent="0.25">
      <c r="A15" s="19" t="s">
        <v>51</v>
      </c>
      <c r="B15" s="20">
        <f>B13*B14</f>
        <v>2598384183.927071</v>
      </c>
      <c r="C15" s="20">
        <f>C13*C14</f>
        <v>2511746074.6148486</v>
      </c>
      <c r="D15" s="20">
        <f>D13*D14</f>
        <v>2427996745.965478</v>
      </c>
      <c r="E15" s="20">
        <f>E13*E14</f>
        <v>2347039877.159127</v>
      </c>
      <c r="F15" s="20">
        <f>F13*F14</f>
        <v>2268782359.0079284</v>
      </c>
    </row>
    <row r="17" spans="1:2" x14ac:dyDescent="0.25">
      <c r="A17" s="22" t="s">
        <v>52</v>
      </c>
      <c r="B17" s="23">
        <f>SUM(B15:F15)</f>
        <v>12153949240.674454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2681483272.7936325</v>
      </c>
    </row>
    <row r="5" spans="1:2" x14ac:dyDescent="0.25">
      <c r="A5" t="s">
        <v>56</v>
      </c>
      <c r="B5" s="18">
        <f>IF(Assumptions!$B$33=0,B4,B4-Forecast!F11-Forecast!F10-Forecast!F12)</f>
        <v>3244996390.4740005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0.22132443663918375</v>
      </c>
    </row>
    <row r="7" spans="1:2" x14ac:dyDescent="0.25">
      <c r="A7" t="s">
        <v>58</v>
      </c>
      <c r="B7" s="18">
        <f>-MAX(Forecast!F9,0)*B6</f>
        <v>-718196998.0178429</v>
      </c>
    </row>
    <row r="8" spans="1:2" x14ac:dyDescent="0.25">
      <c r="A8" t="s">
        <v>59</v>
      </c>
      <c r="B8" s="18">
        <f>IF(OR(Assumptions!$B$33=0,Assumptions!B12&lt;=0),B5,MAX(B5+B7,0))</f>
        <v>2526799392.4561577</v>
      </c>
    </row>
    <row r="9" spans="1:2" x14ac:dyDescent="0.25">
      <c r="A9" t="s">
        <v>60</v>
      </c>
      <c r="B9" s="18">
        <f>B8*(1+Assumptions!B12)/(Assumptions!B26-Assumptions!B12)</f>
        <v>201749121081.79013</v>
      </c>
    </row>
    <row r="10" spans="1:2" x14ac:dyDescent="0.25">
      <c r="A10" t="s">
        <v>61</v>
      </c>
      <c r="B10" s="18">
        <f>B9/(1+Assumptions!B26)^(5-0.5*Assumptions!B32)</f>
        <v>170698378580.1697</v>
      </c>
    </row>
    <row r="11" spans="1:2" x14ac:dyDescent="0.25">
      <c r="A11" t="s">
        <v>62</v>
      </c>
      <c r="B11" s="18">
        <f>Forecast!B17+B10</f>
        <v>182852327820.84418</v>
      </c>
    </row>
    <row r="12" spans="1:2" x14ac:dyDescent="0.25">
      <c r="A12" t="s">
        <v>63</v>
      </c>
      <c r="B12" s="18">
        <f>-Assumptions!B30</f>
        <v>83385000000</v>
      </c>
    </row>
    <row r="13" spans="1:2" x14ac:dyDescent="0.25">
      <c r="A13" t="s">
        <v>64</v>
      </c>
      <c r="B13" s="18">
        <f>B11+B12</f>
        <v>266237327820.84418</v>
      </c>
    </row>
    <row r="14" spans="1:2" x14ac:dyDescent="0.25">
      <c r="A14" s="19" t="s">
        <v>65</v>
      </c>
      <c r="B14" s="24">
        <f>B13/Assumptions!B31</f>
        <v>902.7454986444667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3702002330.635174</v>
      </c>
    </row>
    <row r="18" spans="1:2" x14ac:dyDescent="0.25">
      <c r="A18" t="s">
        <v>60</v>
      </c>
      <c r="B18" s="18">
        <f>B17*Assumptions!B13</f>
        <v>29616018645.08139</v>
      </c>
    </row>
    <row r="19" spans="1:2" x14ac:dyDescent="0.25">
      <c r="A19" t="s">
        <v>61</v>
      </c>
      <c r="B19" s="18">
        <f>B18/(1+Assumptions!B26)^(5-0.5*Assumptions!B32)</f>
        <v>25057885435.178574</v>
      </c>
    </row>
    <row r="20" spans="1:2" x14ac:dyDescent="0.25">
      <c r="A20" t="s">
        <v>62</v>
      </c>
      <c r="B20" s="18">
        <f>Forecast!B17+B19</f>
        <v>37211834675.85303</v>
      </c>
    </row>
    <row r="21" spans="1:2" x14ac:dyDescent="0.25">
      <c r="A21" t="s">
        <v>63</v>
      </c>
      <c r="B21" s="18">
        <f>-Assumptions!B30</f>
        <v>83385000000</v>
      </c>
    </row>
    <row r="22" spans="1:2" x14ac:dyDescent="0.25">
      <c r="A22" t="s">
        <v>64</v>
      </c>
      <c r="B22" s="18">
        <f>B20+B21</f>
        <v>120596834675.85303</v>
      </c>
    </row>
    <row r="23" spans="1:2" x14ac:dyDescent="0.25">
      <c r="A23" s="19" t="s">
        <v>65</v>
      </c>
      <c r="B23" s="25">
        <f>B22/Assumptions!B31</f>
        <v>408.91429667464445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138.75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741.8852782410092</v>
      </c>
    </row>
    <row r="29" spans="1:2" x14ac:dyDescent="0.25">
      <c r="A29" s="19" t="s">
        <v>73</v>
      </c>
      <c r="B29" s="12">
        <f>B28/B26-1</f>
        <v>4.346920924259526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0.017838</v>
      </c>
      <c r="B5" s="31">
        <v>3477.5710092378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0.027838</v>
      </c>
      <c r="B6" s="31">
        <v>991.650019978211</v>
      </c>
      <c r="C6" s="31">
        <v>1366.3238788627496</v>
      </c>
      <c r="D6" s="31">
        <v>3059.6849207001096</v>
      </c>
      <c r="E6" s="31" t="s">
        <v>76</v>
      </c>
      <c r="F6" s="31" t="s">
        <v>76</v>
      </c>
    </row>
    <row r="7" spans="1:6" x14ac:dyDescent="0.25">
      <c r="A7" s="30">
        <v>0.037838</v>
      </c>
      <c r="B7" s="31">
        <v>682.7532649198401</v>
      </c>
      <c r="C7" s="31">
        <v>762.0256230592145</v>
      </c>
      <c r="D7" s="32">
        <v>902.7252074337806</v>
      </c>
      <c r="E7" s="31">
        <v>1222.4085877715152</v>
      </c>
      <c r="F7" s="31">
        <v>2667.078913983462</v>
      </c>
    </row>
    <row r="8" spans="1:6" x14ac:dyDescent="0.25">
      <c r="A8" s="30">
        <v>0.047838</v>
      </c>
      <c r="B8" s="31">
        <v>562.0029439094732</v>
      </c>
      <c r="C8" s="31">
        <v>591.8573782678607</v>
      </c>
      <c r="D8" s="31">
        <v>634.6112579668653</v>
      </c>
      <c r="E8" s="31">
        <v>701.1117452505309</v>
      </c>
      <c r="F8" s="31">
        <v>819.1045258775364</v>
      </c>
    </row>
    <row r="9" spans="1:6" x14ac:dyDescent="0.25">
      <c r="A9" s="30">
        <v>0.057838</v>
      </c>
      <c r="B9" s="31">
        <v>497.6367911302901</v>
      </c>
      <c r="C9" s="31">
        <v>511.618178277689</v>
      </c>
      <c r="D9" s="31">
        <v>529.7420893482911</v>
      </c>
      <c r="E9" s="31">
        <v>554.2406480164999</v>
      </c>
      <c r="F9" s="31">
        <v>589.300723271023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46491000000</v>
      </c>
      <c r="C5" s="18">
        <v>46756000000</v>
      </c>
      <c r="D5" s="18">
        <v>43643000000</v>
      </c>
      <c r="E5" s="18">
        <v>46043000000</v>
      </c>
      <c r="F5" s="8" t="s">
        <v>85</v>
      </c>
    </row>
    <row r="6" spans="1:6" x14ac:dyDescent="0.25">
      <c r="A6" t="s">
        <v>44</v>
      </c>
      <c r="B6" s="18">
        <v>6077000000</v>
      </c>
      <c r="C6" s="18">
        <v>4133000000</v>
      </c>
      <c r="D6" s="18">
        <v>3926000000</v>
      </c>
      <c r="E6" s="18">
        <v>651000000</v>
      </c>
      <c r="F6" s="8" t="s">
        <v>86</v>
      </c>
    </row>
    <row r="7" spans="1:6" x14ac:dyDescent="0.25">
      <c r="A7" t="s">
        <v>87</v>
      </c>
      <c r="B7" s="18">
        <v>-461000000</v>
      </c>
      <c r="C7" s="18">
        <v>-325000000</v>
      </c>
      <c r="D7" s="18">
        <v>-94000000</v>
      </c>
      <c r="E7" s="18">
        <v>425000000</v>
      </c>
      <c r="F7" s="8" t="s">
        <v>88</v>
      </c>
    </row>
    <row r="8" spans="1:6" x14ac:dyDescent="0.25">
      <c r="A8" t="s">
        <v>89</v>
      </c>
      <c r="B8" s="18">
        <v>0</v>
      </c>
      <c r="C8" s="18">
        <v>0</v>
      </c>
      <c r="D8" s="18">
        <v>0</v>
      </c>
      <c r="E8" s="18">
        <v>0</v>
      </c>
      <c r="F8" s="8" t="s">
        <v>86</v>
      </c>
    </row>
    <row r="9" spans="1:6" x14ac:dyDescent="0.25">
      <c r="A9" t="s">
        <v>90</v>
      </c>
      <c r="B9" s="18">
        <v>962000000</v>
      </c>
      <c r="C9" s="18">
        <v>-503000000</v>
      </c>
      <c r="D9" s="18">
        <v>-1352000000</v>
      </c>
      <c r="E9" s="18">
        <v>-1697000000</v>
      </c>
      <c r="F9" s="8" t="s">
        <v>91</v>
      </c>
    </row>
    <row r="10" spans="1:6" x14ac:dyDescent="0.25">
      <c r="A10" t="s">
        <v>92</v>
      </c>
      <c r="B10" s="18">
        <v>8537000000</v>
      </c>
      <c r="C10" s="18">
        <v>7261000000</v>
      </c>
      <c r="D10" s="18">
        <v>7965000000</v>
      </c>
      <c r="E10" s="18">
        <v>9315000000</v>
      </c>
      <c r="F10" s="8" t="s">
        <v>93</v>
      </c>
    </row>
    <row r="11" spans="1:6" x14ac:dyDescent="0.25">
      <c r="A11" t="s">
        <v>94</v>
      </c>
      <c r="B11" s="18">
        <v>91922000000</v>
      </c>
      <c r="C11" s="18">
        <v>88514000000</v>
      </c>
      <c r="D11" s="18">
        <v>91640000000</v>
      </c>
      <c r="E11" s="18">
        <v>88854000000</v>
      </c>
      <c r="F11" s="8" t="s">
        <v>95</v>
      </c>
    </row>
    <row r="12" spans="1:6" x14ac:dyDescent="0.25">
      <c r="A12" t="s">
        <v>32</v>
      </c>
      <c r="B12" s="34">
        <v>294919585</v>
      </c>
      <c r="C12" s="34">
        <v>295326710</v>
      </c>
      <c r="D12" s="34">
        <v>296772678</v>
      </c>
      <c r="E12" s="34">
        <v>303088610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22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