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<sst xmlns="http://schemas.openxmlformats.org/spreadsheetml/2006/main" count="114" uniqueCount="102">
  <si>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Snam S.p.A. (SRG.MI)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</si>
  <si>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</si>
  <si>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</si>
  <si>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</si>
  <si>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</si>
  <si>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</si>
  <si>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</si>
  <si>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</si>
  <si>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</si>
  <si>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</si>
  <si>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</si>
  <si>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</si>
  <si>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</si>
  <si>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</si>
  <si>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</si>
  <si>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</si>
  <si>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</si>
  <si>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</si>
  <si>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</si>
  <si>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</si>
  <si>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</si>
  <si>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</si>
  <si>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</si>
  <si>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</si>
  <si>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</si>
  <si>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</si>
  <si>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</si>
  <si>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</si>
  <si>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</si>
  <si>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</si>
  <si>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</si>
  <si>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</si>
  <si>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</si>
  <si>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</si>
  <si>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</si>
  <si>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</si>
  <si>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</si>
  <si>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</si>
  <si>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</si>
  <si>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</si>
  <si>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</si>
  <si>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</si>
  <si>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</si>
  <si>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</si>
  <si>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</si>
  <si>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</si>
  <si>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</si>
  <si>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</si>
  <si>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</si>
  <si>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</si>
  <si>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</si>
  <si>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</si>
  <si>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</si>
  <si>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</si>
  <si>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</si>
  <si>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</si>
  <si>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</si>
  <si>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</si>
  <si>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</si>
  <si>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</si>
  <si>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</si>
  <si>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</si>
  <si>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</si>
  <si>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</si>
  <si>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</si>
  <si>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</si>
  <si>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</si>
  <si>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</si>
  <si>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</si>
  <si>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</si>
  <si>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</si>
  <si>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</si>
  <si>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</si>
  <si>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</si>
  <si>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</si>
  <si>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</si>
  <si>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</si>
  <si>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</si>
  <si>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</si>
  <si>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</si>
  <si>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</si>
  <si>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</si>
  <si>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</si>
  <si>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</si>
  <si>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</si>
  <si>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</si>
  <si>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</si>
  <si>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</si>
  <si>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</si>
  <si>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</si>
  <si>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</si>
  <si>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</si>
  <si>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</si>
  <si>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</si>
  <si>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</si>
  <si>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</si>
  <si>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</si>
  <si>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</si>
  <si>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</si>
  <si>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57.5% of revenue against depreciation of 24.2%.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</si>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</sst>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0.03285245190487962</v>
      </c>
    </row>
    <row r="7" spans="1:2" x14ac:dyDescent="0.25">
      <c r="A7" t="s">
        <v>5</v>
      </c>
      <c r="B7" s="6">
        <v>0.4355596725396423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0.24156055564164297</v>
      </c>
    </row>
    <row r="10" spans="1:2" x14ac:dyDescent="0.25">
      <c r="A10" t="s">
        <v>8</v>
      </c>
      <c r="B10" s="6">
        <v>0.5745019725202972</v>
      </c>
    </row>
    <row r="11" spans="1:2" x14ac:dyDescent="0.25">
      <c r="A11" t="s">
        <v>9</v>
      </c>
      <c r="B11" s="6">
        <v>0.3256578947368421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12.29593526237288</v>
      </c>
    </row>
    <row r="14" spans="1:3" x14ac:dyDescent="0.25">
      <c r="A14" t="s">
        <v>12</v>
      </c>
      <c r="B14" s="6">
        <v>0.06060735910473894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0.7521</v>
      </c>
      <c r="C19" s="8" t="s">
        <v>19</v>
      </c>
    </row>
    <row r="20" spans="1:2" x14ac:dyDescent="0.25">
      <c r="A20" t="s">
        <v>20</v>
      </c>
      <c r="B20" s="10">
        <f>B17+B19*B18</f>
        <v>0.09088650000000001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18779009024</v>
      </c>
    </row>
    <row r="23" spans="1:2" x14ac:dyDescent="0.25">
      <c r="A23" t="s">
        <v>24</v>
      </c>
      <c r="B23" s="11">
        <v>19535000000</v>
      </c>
    </row>
    <row r="24" spans="1:2" x14ac:dyDescent="0.25">
      <c r="A24" t="s">
        <v>25</v>
      </c>
      <c r="B24" s="10">
        <f>B22/(B22+B23)</f>
        <v>0.4901342747045024</v>
      </c>
    </row>
    <row r="25" spans="1:2" x14ac:dyDescent="0.25">
      <c r="A25" t="s">
        <v>26</v>
      </c>
      <c r="B25" s="10">
        <f>1-B24</f>
        <v>0.5098657252954977</v>
      </c>
    </row>
    <row r="26" spans="1:2" x14ac:dyDescent="0.25">
      <c r="A26" t="s">
        <v>27</v>
      </c>
      <c r="B26" s="12">
        <f>B24*B20+B25*B21*(1-B8)</f>
        <v>0.06060735910473894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3852000000</v>
      </c>
      <c r="C29" s="8" t="s">
        <v>30</v>
      </c>
    </row>
    <row r="30" spans="1:2" x14ac:dyDescent="0.25">
      <c r="A30" t="s">
        <v>31</v>
      </c>
      <c r="B30" s="11">
        <v>17494000000</v>
      </c>
    </row>
    <row r="31" spans="1:2" x14ac:dyDescent="0.25">
      <c r="A31" t="s">
        <v>32</v>
      </c>
      <c r="B31" s="13">
        <v>3355791415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0.03285245190487962</v>
      </c>
      <c r="C5" s="10">
        <f>Assumptions!B6</f>
        <v>0.03285245190487962</v>
      </c>
      <c r="D5" s="10">
        <f>Assumptions!B6</f>
        <v>0.03285245190487962</v>
      </c>
      <c r="E5" s="10">
        <f>Assumptions!B6</f>
        <v>0.03285245190487962</v>
      </c>
      <c r="F5" s="10">
        <f>Assumptions!B6</f>
        <v>0.03285245190487962</v>
      </c>
    </row>
    <row r="6" spans="1:6" x14ac:dyDescent="0.25">
      <c r="A6" t="s">
        <v>43</v>
      </c>
      <c r="B6" s="18">
        <f>Assumptions!B29*(1+B5)</f>
        <v>3978547644.7375965</v>
      </c>
      <c r="C6" s="18">
        <f>B6*(1+C5)</f>
        <v>4109252689.8876104</v>
      </c>
      <c r="D6" s="18">
        <f>C6*(1+D5)</f>
        <v>4244251716.2471404</v>
      </c>
      <c r="E6" s="18">
        <f>D6*(1+E5)</f>
        <v>4383685791.627353</v>
      </c>
      <c r="F6" s="18">
        <f>E6*(1+F5)</f>
        <v>4527700618.262895</v>
      </c>
    </row>
    <row r="7" spans="1:6" x14ac:dyDescent="0.25">
      <c r="A7" t="s">
        <v>5</v>
      </c>
      <c r="B7" s="10">
        <f>Assumptions!B7</f>
        <v>0.4355596725396423</v>
      </c>
      <c r="C7" s="10">
        <f>Assumptions!B7</f>
        <v>0.4355596725396423</v>
      </c>
      <c r="D7" s="10">
        <f>Assumptions!B7</f>
        <v>0.4355596725396423</v>
      </c>
      <c r="E7" s="10">
        <f>Assumptions!B7</f>
        <v>0.4355596725396423</v>
      </c>
      <c r="F7" s="10">
        <f>Assumptions!B7</f>
        <v>0.4355596725396423</v>
      </c>
    </row>
    <row r="8" spans="1:6" x14ac:dyDescent="0.25">
      <c r="A8" t="s">
        <v>44</v>
      </c>
      <c r="B8" s="18">
        <f>B6*B7</f>
        <v>1732894909.3252726</v>
      </c>
      <c r="C8" s="18">
        <f>C6*C7</f>
        <v>1789824755.9900918</v>
      </c>
      <c r="D8" s="18">
        <f>D6*D7</f>
        <v>1848624887.7044191</v>
      </c>
      <c r="E8" s="18">
        <f>E6*E7</f>
        <v>1909356747.9178922</v>
      </c>
      <c r="F8" s="18">
        <f>F6*F7</f>
        <v>1972083798.6481223</v>
      </c>
    </row>
    <row r="9" spans="1:6" x14ac:dyDescent="0.25">
      <c r="A9" t="s">
        <v>45</v>
      </c>
      <c r="B9" s="18">
        <f>B8*(1-Assumptions!B8)</f>
        <v>1299671181.9939544</v>
      </c>
      <c r="C9" s="18">
        <f>C8*(1-Assumptions!B8)</f>
        <v>1342368566.992569</v>
      </c>
      <c r="D9" s="18">
        <f>D8*(1-Assumptions!B8)</f>
        <v>1386468665.7783144</v>
      </c>
      <c r="E9" s="18">
        <f>E8*(1-Assumptions!B8)</f>
        <v>1432017560.938419</v>
      </c>
      <c r="F9" s="18">
        <f>F8*(1-Assumptions!B8)</f>
        <v>1479062848.9860916</v>
      </c>
    </row>
    <row r="10" spans="1:6" x14ac:dyDescent="0.25">
      <c r="A10" t="s">
        <v>46</v>
      </c>
      <c r="B10" s="18">
        <f>B6*Assumptions!B9</f>
        <v>961060179.7095637</v>
      </c>
      <c r="C10" s="18">
        <f>C6*Assumptions!B9</f>
        <v>992633363.0411671</v>
      </c>
      <c r="D10" s="18">
        <f>D6*Assumptions!B9</f>
        <v>1025243802.859656</v>
      </c>
      <c r="E10" s="18">
        <f>E6*Assumptions!B9</f>
        <v>1058925575.5838789</v>
      </c>
      <c r="F10" s="18">
        <f>F6*Assumptions!B9</f>
        <v>1093713877.1265953</v>
      </c>
    </row>
    <row r="11" spans="1:6" x14ac:dyDescent="0.25">
      <c r="A11" t="s">
        <v>47</v>
      </c>
      <c r="B11" s="18">
        <f>-B6*Assumptions!B10</f>
        <v>-2285683469.667732</v>
      </c>
      <c r="C11" s="18">
        <f>-C6*Assumptions!B10</f>
        <v>-2360773775.9247694</v>
      </c>
      <c r="D11" s="18">
        <f>-D6*Assumptions!B10</f>
        <v>-2438330982.856639</v>
      </c>
      <c r="E11" s="18">
        <f>-E6*Assumptions!B10</f>
        <v>-2518436134.199115</v>
      </c>
      <c r="F11" s="18">
        <f>-F6*Assumptions!B10</f>
        <v>-2601172936.1734023</v>
      </c>
    </row>
    <row r="12" spans="1:6" x14ac:dyDescent="0.25">
      <c r="A12" t="s">
        <v>48</v>
      </c>
      <c r="B12" s="18">
        <f>-(B6-Assumptions!B29)*Assumptions!B11</f>
        <v>-41211239.56915149</v>
      </c>
      <c r="C12" s="18">
        <f>-(C6-B6)*Assumptions!B11</f>
        <v>-42565129.835037425</v>
      </c>
      <c r="D12" s="18">
        <f>-(D6-C6)*Assumptions!B11</f>
        <v>-43963498.71576798</v>
      </c>
      <c r="E12" s="18">
        <f>-(E6-D6)*Assumptions!B11</f>
        <v>-45407807.44289809</v>
      </c>
      <c r="F12" s="18">
        <f>-(F6-E6)*Assumptions!B11</f>
        <v>-46899565.25302187</v>
      </c>
    </row>
    <row r="13" spans="1:6" x14ac:dyDescent="0.25">
      <c r="A13" s="19" t="s">
        <v>49</v>
      </c>
      <c r="B13" s="20">
        <f>B9+B10+B11+B12</f>
        <v>-66163347.53336534</v>
      </c>
      <c r="C13" s="20">
        <f>C9+C10+C11+C12</f>
        <v>-68336975.7260706</v>
      </c>
      <c r="D13" s="20">
        <f>D9+D10+D11+D12</f>
        <v>-70582012.93443644</v>
      </c>
      <c r="E13" s="20">
        <f>E9+E10+E11+E12</f>
        <v>-72900805.11971503</v>
      </c>
      <c r="F13" s="20">
        <f>F9+F10+F11+F12</f>
        <v>-75295775.31373706</v>
      </c>
    </row>
    <row r="14" spans="1:6" x14ac:dyDescent="0.25">
      <c r="A14" t="s">
        <v>50</v>
      </c>
      <c r="B14" s="21">
        <f>1/(1+Assumptions!$B$26)^(1-0.5*Assumptions!$B$32)</f>
        <v>0.971007718053637</v>
      </c>
      <c r="C14" s="21">
        <f>1/(1+Assumptions!$B$26)^(2-0.5*Assumptions!$B$32)</f>
        <v>0.9155204418657501</v>
      </c>
      <c r="D14" s="21">
        <f>1/(1+Assumptions!$B$26)^(3-0.5*Assumptions!$B$32)</f>
        <v>0.8632039312253528</v>
      </c>
      <c r="E14" s="21">
        <f>1/(1+Assumptions!$B$26)^(4-0.5*Assumptions!$B$32)</f>
        <v>0.8138769958695979</v>
      </c>
      <c r="F14" s="21">
        <f>1/(1+Assumptions!$B$26)^(5-0.5*Assumptions!$B$32)</f>
        <v>0.7673687994740989</v>
      </c>
    </row>
    <row r="15" spans="1:6" x14ac:dyDescent="0.25">
      <c r="A15" s="19" t="s">
        <v>51</v>
      </c>
      <c r="B15" s="20">
        <f>B13*B14</f>
        <v>-64245121.1071628</v>
      </c>
      <c r="C15" s="20">
        <f>C13*C14</f>
        <v>-62563898.21250119</v>
      </c>
      <c r="D15" s="20">
        <f>D13*D14</f>
        <v>-60926671.03880423</v>
      </c>
      <c r="E15" s="20">
        <f>E13*E14</f>
        <v>-59332288.267308675</v>
      </c>
      <c r="F15" s="20">
        <f>F13*F14</f>
        <v>-57779628.7079739</v>
      </c>
    </row>
    <row r="17" spans="1:2" x14ac:dyDescent="0.25">
      <c r="A17" s="22" t="s">
        <v>52</v>
      </c>
      <c r="B17" s="23">
        <f>SUM(B15:F15)</f>
        <v>-304847607.33375084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-75295775.31373706</v>
      </c>
    </row>
    <row r="5" spans="1:2" x14ac:dyDescent="0.25">
      <c r="A5" t="s">
        <v>56</v>
      </c>
      <c r="B5" s="18">
        <f>IF(Assumptions!$B$33=0,B4,B4-Forecast!F11-Forecast!F10-Forecast!F12)</f>
        <v>1536007510.5314689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0.4124911622827207</v>
      </c>
    </row>
    <row r="7" spans="1:2" x14ac:dyDescent="0.25">
      <c r="A7" t="s">
        <v>58</v>
      </c>
      <c r="B7" s="18">
        <f>-MAX(Forecast!F9,0)*B6</f>
        <v>-633589523.294114</v>
      </c>
    </row>
    <row r="8" spans="1:2" x14ac:dyDescent="0.25">
      <c r="A8" t="s">
        <v>59</v>
      </c>
      <c r="B8" s="18">
        <f>IF(OR(Assumptions!$B$33=0,Assumptions!B12&lt;=0),B5,MAX(B5+B7,0))</f>
        <v>902417987.2373549</v>
      </c>
    </row>
    <row r="9" spans="1:2" x14ac:dyDescent="0.25">
      <c r="A9" t="s">
        <v>60</v>
      </c>
      <c r="B9" s="18">
        <f>B8*(1+Assumptions!B12)/(Assumptions!B26-Assumptions!B12)</f>
        <v>25977170455.05867</v>
      </c>
    </row>
    <row r="10" spans="1:2" x14ac:dyDescent="0.25">
      <c r="A10" t="s">
        <v>61</v>
      </c>
      <c r="B10" s="18">
        <f>B9/(1+Assumptions!B26)^(5-0.5*Assumptions!B32)</f>
        <v>19934070105.8324</v>
      </c>
    </row>
    <row r="11" spans="1:2" x14ac:dyDescent="0.25">
      <c r="A11" t="s">
        <v>62</v>
      </c>
      <c r="B11" s="18">
        <f>Forecast!B17+B10</f>
        <v>19629222498.49865</v>
      </c>
    </row>
    <row r="12" spans="1:2" x14ac:dyDescent="0.25">
      <c r="A12" t="s">
        <v>63</v>
      </c>
      <c r="B12" s="18">
        <f>-Assumptions!B30</f>
        <v>-17494000000</v>
      </c>
    </row>
    <row r="13" spans="1:2" x14ac:dyDescent="0.25">
      <c r="A13" t="s">
        <v>64</v>
      </c>
      <c r="B13" s="18">
        <f>B11+B12</f>
        <v>2135222498.4986496</v>
      </c>
    </row>
    <row r="14" spans="1:2" x14ac:dyDescent="0.25">
      <c r="A14" s="19" t="s">
        <v>65</v>
      </c>
      <c r="B14" s="24">
        <f>B13/Assumptions!B31</f>
        <v>0.6362798620183756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3065797675.7747173</v>
      </c>
    </row>
    <row r="18" spans="1:2" x14ac:dyDescent="0.25">
      <c r="A18" t="s">
        <v>60</v>
      </c>
      <c r="B18" s="18">
        <f>B17*Assumptions!B13</f>
        <v>37696849748.85917</v>
      </c>
    </row>
    <row r="19" spans="1:2" x14ac:dyDescent="0.25">
      <c r="A19" t="s">
        <v>61</v>
      </c>
      <c r="B19" s="18">
        <f>B18/(1+Assumptions!B26)^(5-0.5*Assumptions!B32)</f>
        <v>28927386335.737545</v>
      </c>
    </row>
    <row r="20" spans="1:2" x14ac:dyDescent="0.25">
      <c r="A20" t="s">
        <v>62</v>
      </c>
      <c r="B20" s="18">
        <f>Forecast!B17+B19</f>
        <v>28622538728.403793</v>
      </c>
    </row>
    <row r="21" spans="1:2" x14ac:dyDescent="0.25">
      <c r="A21" t="s">
        <v>63</v>
      </c>
      <c r="B21" s="18">
        <f>-Assumptions!B30</f>
        <v>-17494000000</v>
      </c>
    </row>
    <row r="22" spans="1:2" x14ac:dyDescent="0.25">
      <c r="A22" t="s">
        <v>64</v>
      </c>
      <c r="B22" s="18">
        <f>B20+B21</f>
        <v>11128538728.403793</v>
      </c>
    </row>
    <row r="23" spans="1:2" x14ac:dyDescent="0.25">
      <c r="A23" s="19" t="s">
        <v>65</v>
      </c>
      <c r="B23" s="25">
        <f>B22/Assumptions!B31</f>
        <v>3.316218844431305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5.596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0.6362798620183756</v>
      </c>
    </row>
    <row r="29" spans="1:2" x14ac:dyDescent="0.25">
      <c r="A29" s="19" t="s">
        <v>73</v>
      </c>
      <c r="B29" s="12">
        <f>B28/B26-1</f>
        <v>-0.8862973799109407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0.040607</v>
      </c>
      <c r="B5" s="31">
        <v>5.203371941600271</v>
      </c>
      <c r="C5" s="31">
        <v>5.880198511589179</v>
      </c>
      <c r="D5" s="31">
        <v>6.96560632807784</v>
      </c>
      <c r="E5" s="31">
        <v>9.037394834593771</v>
      </c>
      <c r="F5" s="31">
        <v>14.734356674334597</v>
      </c>
    </row>
    <row r="6" spans="1:6" x14ac:dyDescent="0.25">
      <c r="A6" s="30">
        <v>0.050607</v>
      </c>
      <c r="B6" s="31">
        <v>2.0453834689912935</v>
      </c>
      <c r="C6" s="31">
        <v>2.0815974680951537</v>
      </c>
      <c r="D6" s="31">
        <v>2.1178114671990125</v>
      </c>
      <c r="E6" s="31">
        <v>2.1540254663028713</v>
      </c>
      <c r="F6" s="31">
        <v>2.190239465406729</v>
      </c>
    </row>
    <row r="7" spans="1:6" x14ac:dyDescent="0.25">
      <c r="A7" s="30">
        <v>0.060607</v>
      </c>
      <c r="B7" s="31">
        <v>0.578370437533648</v>
      </c>
      <c r="C7" s="31">
        <v>0.6073472357486474</v>
      </c>
      <c r="D7" s="32">
        <v>0.6363240339636467</v>
      </c>
      <c r="E7" s="31">
        <v>0.6653008321786449</v>
      </c>
      <c r="F7" s="31">
        <v>0.6942776303936419</v>
      </c>
    </row>
    <row r="8" spans="1:6" x14ac:dyDescent="0.25">
      <c r="A8" s="30">
        <v>0.070607</v>
      </c>
      <c r="B8" s="31">
        <v>-0.461464486864746</v>
      </c>
      <c r="C8" s="31">
        <v>-0.43762014873421257</v>
      </c>
      <c r="D8" s="31">
        <v>-0.4137758106036797</v>
      </c>
      <c r="E8" s="31">
        <v>-0.38993147247314563</v>
      </c>
      <c r="F8" s="31">
        <v>-0.36608713434261386</v>
      </c>
    </row>
    <row r="9" spans="1:6" x14ac:dyDescent="0.25">
      <c r="A9" s="30">
        <v>0.080607</v>
      </c>
      <c r="B9" s="31">
        <v>-1.2337099665937294</v>
      </c>
      <c r="C9" s="31">
        <v>-1.213679519987278</v>
      </c>
      <c r="D9" s="31">
        <v>-1.1936490733808283</v>
      </c>
      <c r="E9" s="31">
        <v>-1.1736186267743762</v>
      </c>
      <c r="F9" s="31">
        <v>-1.153588180167926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3852000000</v>
      </c>
      <c r="C5" s="18">
        <v>3548000000</v>
      </c>
      <c r="D5" s="18">
        <v>4244000000</v>
      </c>
      <c r="E5" s="18">
        <v>3496000000</v>
      </c>
      <c r="F5" s="8" t="s">
        <v>84</v>
      </c>
    </row>
    <row r="6" spans="1:6" x14ac:dyDescent="0.25">
      <c r="A6" t="s">
        <v>44</v>
      </c>
      <c r="B6" s="18">
        <v>1924000000</v>
      </c>
      <c r="C6" s="18">
        <v>1770000000</v>
      </c>
      <c r="D6" s="18">
        <v>1483000000</v>
      </c>
      <c r="E6" s="18">
        <v>1379000000</v>
      </c>
      <c r="F6" s="8" t="s">
        <v>85</v>
      </c>
    </row>
    <row r="7" spans="1:6" x14ac:dyDescent="0.25">
      <c r="A7" t="s">
        <v>86</v>
      </c>
      <c r="B7" s="18">
        <v>1026000000</v>
      </c>
      <c r="C7" s="18">
        <v>830000000</v>
      </c>
      <c r="D7" s="18">
        <v>925000000</v>
      </c>
      <c r="E7" s="18">
        <v>867000000</v>
      </c>
      <c r="F7" s="8" t="s">
        <v>87</v>
      </c>
    </row>
    <row r="8" spans="1:6" x14ac:dyDescent="0.25">
      <c r="A8" t="s">
        <v>88</v>
      </c>
      <c r="B8" s="18">
        <v>2709000000</v>
      </c>
      <c r="C8" s="18">
        <v>2815000000</v>
      </c>
      <c r="D8" s="18">
        <v>1796000000</v>
      </c>
      <c r="E8" s="18">
        <v>1322000000</v>
      </c>
      <c r="F8" s="8" t="s">
        <v>89</v>
      </c>
    </row>
    <row r="9" spans="1:6" x14ac:dyDescent="0.25">
      <c r="A9" t="s">
        <v>90</v>
      </c>
      <c r="B9" s="18">
        <v>99000000</v>
      </c>
      <c r="C9" s="18">
        <v>764000000</v>
      </c>
      <c r="D9" s="18">
        <v>2282000000</v>
      </c>
      <c r="E9" s="18">
        <v>-2408000000</v>
      </c>
      <c r="F9" s="8" t="s">
        <v>91</v>
      </c>
    </row>
    <row r="10" spans="1:6" x14ac:dyDescent="0.25">
      <c r="A10" t="s">
        <v>92</v>
      </c>
      <c r="B10" s="18">
        <v>19535000000</v>
      </c>
      <c r="C10" s="18">
        <v>18361000000</v>
      </c>
      <c r="D10" s="18">
        <v>16652000000</v>
      </c>
      <c r="E10" s="18">
        <v>13680000000</v>
      </c>
      <c r="F10" s="8" t="s">
        <v>93</v>
      </c>
    </row>
    <row r="11" spans="1:6" x14ac:dyDescent="0.25">
      <c r="A11" t="s">
        <v>94</v>
      </c>
      <c r="B11" s="18">
        <v>2041000000</v>
      </c>
      <c r="C11" s="18">
        <v>1806000000</v>
      </c>
      <c r="D11" s="18">
        <v>1382000000</v>
      </c>
      <c r="E11" s="18">
        <v>1757000000</v>
      </c>
      <c r="F11" s="8" t="s">
        <v>95</v>
      </c>
    </row>
    <row r="12" spans="1:6" x14ac:dyDescent="0.25">
      <c r="A12" t="s">
        <v>32</v>
      </c>
      <c r="B12" s="34">
        <v>3355791415</v>
      </c>
      <c r="C12" s="34">
        <v>3354396370</v>
      </c>
      <c r="D12" s="34">
        <v>3353613230</v>
      </c>
      <c r="E12" s="34">
        <v>3339548370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2026-09-19T02:00:22Z</dcterms:modified>
</cp:coreProperties>
</file>