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<sst xmlns="http://schemas.openxmlformats.org/spreadsheetml/2006/main" count="115" uniqueCount="103">
  <si>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Standard Chartered PLC (STAN.L)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</si>
  <si>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</si>
  <si>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</si>
  <si>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</si>
  <si>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</si>
  <si>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</si>
  <si>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</si>
  <si>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</si>
  <si>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</si>
  <si>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</si>
  <si>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</si>
  <si>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</si>
  <si>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</si>
  <si>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</si>
  <si>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</si>
  <si>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</si>
  <si>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</si>
  <si>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</si>
  <si>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</si>
  <si>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</si>
  <si>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</si>
  <si>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</si>
  <si>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18.4%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</si>
  <si>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</si>
  <si>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</si>
  <si>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</si>
  <si>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</si>
  <si>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</si>
  <si>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</si>
  <si>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</si>
  <si>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</si>
  <si>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</si>
  <si>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</si>
  <si>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</si>
  <si>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</si>
  <si>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</si>
  <si>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</si>
  <si>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</si>
  <si>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</si>
  <si>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</si>
  <si>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</si>
  <si>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</si>
  <si>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</si>
  <si>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</si>
  <si>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</si>
  <si>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</si>
  <si>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</si>
  <si>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</si>
  <si>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</si>
  <si>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</si>
  <si>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</si>
  <si>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</si>
  <si>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</si>
  <si>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</si>
  <si>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</si>
  <si>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</si>
  <si>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</si>
  <si>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</si>
  <si>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</si>
  <si>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</si>
  <si>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</si>
  <si>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</si>
  <si>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</si>
  <si>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</si>
  <si>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</si>
  <si>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</si>
  <si>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</si>
  <si>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</si>
  <si>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</si>
  <si>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</si>
  <si>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</si>
  <si>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</si>
  <si>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</si>
  <si>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</si>
  <si>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</si>
  <si>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</si>
  <si>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</si>
  <si>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</si>
  <si>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</si>
  <si>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</si>
  <si>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</si>
  <si>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</si>
  <si>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</si>
  <si>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</si>
  <si>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</si>
  <si>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</si>
  <si>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</si>
  <si>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</si>
  <si>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</si>
  <si>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</si>
  <si>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</si>
  <si>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</si>
  <si>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</si>
  <si>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</si>
  <si>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</si>
  <si>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</si>
  <si>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</si>
  <si>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</si>
  <si>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</si>
  <si>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Reports in USD, trades in GBp. Modelled in USD, converted at the end.</t>
  </si>
  <si>
    <t>Adjusted: Capital expenditure runs at 8.2% of revenue against depreciation of 6.2%.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</si>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</sst>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0.08350072473480119</v>
      </c>
    </row>
    <row r="7" spans="1:2" x14ac:dyDescent="0.25">
      <c r="A7" t="s">
        <v>5</v>
      </c>
      <c r="B7" s="6">
        <v>0.2989525955701314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0.06196280969552451</v>
      </c>
    </row>
    <row r="10" spans="1:2" x14ac:dyDescent="0.25">
      <c r="A10" t="s">
        <v>8</v>
      </c>
      <c r="B10" s="6">
        <v>0.08232980241652159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9.50131548604451</v>
      </c>
    </row>
    <row r="14" spans="1:3" x14ac:dyDescent="0.25">
      <c r="A14" t="s">
        <v>12</v>
      </c>
      <c r="B14" s="6">
        <v>0.06038519142315954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0.72865</v>
      </c>
      <c r="C19" s="8" t="s">
        <v>19</v>
      </c>
    </row>
    <row r="20" spans="1:2" x14ac:dyDescent="0.25">
      <c r="A20" t="s">
        <v>20</v>
      </c>
      <c r="B20" s="10">
        <f>B17+B19*B18</f>
        <v>0.08507575</v>
      </c>
    </row>
    <row r="21" spans="1:3" x14ac:dyDescent="0.25">
      <c r="A21" t="s">
        <v>21</v>
      </c>
      <c r="B21" s="6">
        <v>0.065</v>
      </c>
      <c r="C21" s="8" t="s">
        <v>22</v>
      </c>
    </row>
    <row r="22" spans="1:2" x14ac:dyDescent="0.25">
      <c r="A22" t="s">
        <v>23</v>
      </c>
      <c r="B22" s="11">
        <v>49653198848</v>
      </c>
    </row>
    <row r="23" spans="1:2" x14ac:dyDescent="0.25">
      <c r="A23" t="s">
        <v>24</v>
      </c>
      <c r="B23" s="11">
        <v>105367000000</v>
      </c>
    </row>
    <row r="24" spans="1:2" x14ac:dyDescent="0.25">
      <c r="A24" t="s">
        <v>25</v>
      </c>
      <c r="B24" s="10">
        <f>B22/(B22+B23)</f>
        <v>0.32030147823952815</v>
      </c>
    </row>
    <row r="25" spans="1:2" x14ac:dyDescent="0.25">
      <c r="A25" t="s">
        <v>26</v>
      </c>
      <c r="B25" s="10">
        <f>1-B24</f>
        <v>0.6796985217604719</v>
      </c>
    </row>
    <row r="26" spans="1:2" x14ac:dyDescent="0.25">
      <c r="A26" t="s">
        <v>27</v>
      </c>
      <c r="B26" s="12">
        <f>B24*B20+B25*B21*(1-B8)</f>
        <v>0.06038519142315954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20553000000</v>
      </c>
      <c r="C29" s="8" t="s">
        <v>30</v>
      </c>
    </row>
    <row r="30" spans="1:2" x14ac:dyDescent="0.25">
      <c r="A30" t="s">
        <v>31</v>
      </c>
      <c r="B30" s="11">
        <v>27621000000</v>
      </c>
    </row>
    <row r="31" spans="1:2" x14ac:dyDescent="0.25">
      <c r="A31" t="s">
        <v>32</v>
      </c>
      <c r="B31" s="13">
        <v>2404000000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0.08350072473480119</v>
      </c>
      <c r="C5" s="10">
        <f>Assumptions!B6</f>
        <v>0.08350072473480119</v>
      </c>
      <c r="D5" s="10">
        <f>Assumptions!B6</f>
        <v>0.08350072473480119</v>
      </c>
      <c r="E5" s="10">
        <f>Assumptions!B6</f>
        <v>0.08350072473480119</v>
      </c>
      <c r="F5" s="10">
        <f>Assumptions!B6</f>
        <v>0.08350072473480119</v>
      </c>
    </row>
    <row r="6" spans="1:6" x14ac:dyDescent="0.25">
      <c r="A6" t="s">
        <v>43</v>
      </c>
      <c r="B6" s="18">
        <f>Assumptions!B29*(1+B5)</f>
        <v>22269190395.47437</v>
      </c>
      <c r="C6" s="18">
        <f>B6*(1+C5)</f>
        <v>24128683932.753754</v>
      </c>
      <c r="D6" s="18">
        <f>C6*(1+D5)</f>
        <v>26143446528.035645</v>
      </c>
      <c r="E6" s="18">
        <f>D6*(1+E5)</f>
        <v>28326443260.192142</v>
      </c>
      <c r="F6" s="18">
        <f>E6*(1+F5)</f>
        <v>30691721801.57741</v>
      </c>
    </row>
    <row r="7" spans="1:6" x14ac:dyDescent="0.25">
      <c r="A7" t="s">
        <v>5</v>
      </c>
      <c r="B7" s="10">
        <f>Assumptions!B7</f>
        <v>0.2989525955701314</v>
      </c>
      <c r="C7" s="10">
        <f>Assumptions!B7</f>
        <v>0.2989525955701314</v>
      </c>
      <c r="D7" s="10">
        <f>Assumptions!B7</f>
        <v>0.2989525955701314</v>
      </c>
      <c r="E7" s="10">
        <f>Assumptions!B7</f>
        <v>0.2989525955701314</v>
      </c>
      <c r="F7" s="10">
        <f>Assumptions!B7</f>
        <v>0.2989525955701314</v>
      </c>
    </row>
    <row r="8" spans="1:6" x14ac:dyDescent="0.25">
      <c r="A8" t="s">
        <v>44</v>
      </c>
      <c r="B8" s="18">
        <f>B6*B7</f>
        <v>6657432269.972503</v>
      </c>
      <c r="C8" s="18">
        <f>C6*C7</f>
        <v>7213332689.38806</v>
      </c>
      <c r="D8" s="18">
        <f>D6*D7</f>
        <v>7815651196.705195</v>
      </c>
      <c r="E8" s="18">
        <f>E6*E7</f>
        <v>8468263735.904495</v>
      </c>
      <c r="F8" s="18">
        <f>F6*F7</f>
        <v>9175369895.097956</v>
      </c>
    </row>
    <row r="9" spans="1:6" x14ac:dyDescent="0.25">
      <c r="A9" t="s">
        <v>45</v>
      </c>
      <c r="B9" s="18">
        <f>B8*(1-Assumptions!B8)</f>
        <v>4993074202.479377</v>
      </c>
      <c r="C9" s="18">
        <f>C8*(1-Assumptions!B8)</f>
        <v>5409999517.041044</v>
      </c>
      <c r="D9" s="18">
        <f>D8*(1-Assumptions!B8)</f>
        <v>5861738397.528896</v>
      </c>
      <c r="E9" s="18">
        <f>E8*(1-Assumptions!B8)</f>
        <v>6351197801.928371</v>
      </c>
      <c r="F9" s="18">
        <f>F8*(1-Assumptions!B8)</f>
        <v>6881527421.323467</v>
      </c>
    </row>
    <row r="10" spans="1:6" x14ac:dyDescent="0.25">
      <c r="A10" t="s">
        <v>46</v>
      </c>
      <c r="B10" s="18">
        <f>B6*Assumptions!B9</f>
        <v>1379861606.5481803</v>
      </c>
      <c r="C10" s="18">
        <f>C6*Assumptions!B9</f>
        <v>1495081050.7286806</v>
      </c>
      <c r="D10" s="18">
        <f>D6*Assumptions!B9</f>
        <v>1619921402.0017936</v>
      </c>
      <c r="E10" s="18">
        <f>E6*Assumptions!B9</f>
        <v>1755186013.0823586</v>
      </c>
      <c r="F10" s="18">
        <f>F6*Assumptions!B9</f>
        <v>1901745317.2191217</v>
      </c>
    </row>
    <row r="11" spans="1:6" x14ac:dyDescent="0.25">
      <c r="A11" t="s">
        <v>47</v>
      </c>
      <c r="B11" s="18">
        <f>-B6*Assumptions!B10</f>
        <v>-1833418045.235305</v>
      </c>
      <c r="C11" s="18">
        <f>-C6*Assumptions!B10</f>
        <v>-1986509780.7543156</v>
      </c>
      <c r="D11" s="18">
        <f>-D6*Assumptions!B10</f>
        <v>-2152384787.140072</v>
      </c>
      <c r="E11" s="18">
        <f>-E6*Assumptions!B10</f>
        <v>-2332110476.774429</v>
      </c>
      <c r="F11" s="18">
        <f>-F6*Assumptions!B10</f>
        <v>-2526843391.7467165</v>
      </c>
    </row>
    <row r="12" spans="1:6" x14ac:dyDescent="0.25">
      <c r="A12" t="s">
        <v>48</v>
      </c>
      <c r="B12" s="18">
        <f>-(B6-Assumptions!B29)*Assumptions!B11</f>
        <v>-1716190395.474369</v>
      </c>
      <c r="C12" s="18">
        <f>-(C6-B6)*Assumptions!B11</f>
        <v>-1859493537.2793846</v>
      </c>
      <c r="D12" s="18">
        <f>-(D6-C6)*Assumptions!B11</f>
        <v>-2014762595.2818909</v>
      </c>
      <c r="E12" s="18">
        <f>-(E6-D6)*Assumptions!B11</f>
        <v>-2182996732.156498</v>
      </c>
      <c r="F12" s="18">
        <f>-(F6-E6)*Assumptions!B11</f>
        <v>-2365278541.385269</v>
      </c>
    </row>
    <row r="13" spans="1:6" x14ac:dyDescent="0.25">
      <c r="A13" s="19" t="s">
        <v>49</v>
      </c>
      <c r="B13" s="20">
        <f>B9+B10+B11+B12</f>
        <v>2823327368.3178835</v>
      </c>
      <c r="C13" s="20">
        <f>C9+C10+C11+C12</f>
        <v>3059077249.736025</v>
      </c>
      <c r="D13" s="20">
        <f>D9+D10+D11+D12</f>
        <v>3314512417.1087275</v>
      </c>
      <c r="E13" s="20">
        <f>E9+E10+E11+E12</f>
        <v>3591276606.0798035</v>
      </c>
      <c r="F13" s="20">
        <f>F9+F10+F11+F12</f>
        <v>3891150805.4106035</v>
      </c>
    </row>
    <row r="14" spans="1:6" x14ac:dyDescent="0.25">
      <c r="A14" t="s">
        <v>50</v>
      </c>
      <c r="B14" s="21">
        <f>1/(1+Assumptions!$B$26)^(1-0.5*Assumptions!$B$32)</f>
        <v>0.9711094335608426</v>
      </c>
      <c r="C14" s="21">
        <f>1/(1+Assumptions!$B$26)^(2-0.5*Assumptions!$B$32)</f>
        <v>0.9158081812303523</v>
      </c>
      <c r="D14" s="21">
        <f>1/(1+Assumptions!$B$26)^(3-0.5*Assumptions!$B$32)</f>
        <v>0.8636561398987777</v>
      </c>
      <c r="E14" s="21">
        <f>1/(1+Assumptions!$B$26)^(4-0.5*Assumptions!$B$32)</f>
        <v>0.814473973122589</v>
      </c>
      <c r="F14" s="21">
        <f>1/(1+Assumptions!$B$26)^(5-0.5*Assumptions!$B$32)</f>
        <v>0.7680925570353078</v>
      </c>
    </row>
    <row r="15" spans="1:6" x14ac:dyDescent="0.25">
      <c r="A15" s="19" t="s">
        <v>51</v>
      </c>
      <c r="B15" s="20">
        <f>B13*B14</f>
        <v>2741759841.404004</v>
      </c>
      <c r="C15" s="20">
        <f>C13*C14</f>
        <v>2801527972.3238974</v>
      </c>
      <c r="D15" s="20">
        <f>D13*D14</f>
        <v>2862598999.8066907</v>
      </c>
      <c r="E15" s="20">
        <f>E13*E14</f>
        <v>2925001325.936024</v>
      </c>
      <c r="F15" s="20">
        <f>F13*F14</f>
        <v>2988763971.9378276</v>
      </c>
    </row>
    <row r="17" spans="1:2" x14ac:dyDescent="0.25">
      <c r="A17" s="22" t="s">
        <v>52</v>
      </c>
      <c r="B17" s="23">
        <f>SUM(B15:F15)</f>
        <v>14319652111.408443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3891150805.4106035</v>
      </c>
    </row>
    <row r="5" spans="1:2" x14ac:dyDescent="0.25">
      <c r="A5" t="s">
        <v>56</v>
      </c>
      <c r="B5" s="18">
        <f>IF(Assumptions!$B$33=0,B4,B4-Forecast!F11-Forecast!F10-Forecast!F12)</f>
        <v>7672021573.049478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0.4140087894200456</v>
      </c>
    </row>
    <row r="7" spans="1:2" x14ac:dyDescent="0.25">
      <c r="A7" t="s">
        <v>58</v>
      </c>
      <c r="B7" s="18">
        <f>-MAX(Forecast!F9,0)*B6</f>
        <v>-3176284363.862688</v>
      </c>
    </row>
    <row r="8" spans="1:2" x14ac:dyDescent="0.25">
      <c r="A8" t="s">
        <v>59</v>
      </c>
      <c r="B8" s="18">
        <f>IF(OR(Assumptions!$B$33=0,Assumptions!B12&lt;=0),B5,MAX(B5+B7,0))</f>
        <v>4495737209.1867895</v>
      </c>
    </row>
    <row r="9" spans="1:2" x14ac:dyDescent="0.25">
      <c r="A9" t="s">
        <v>60</v>
      </c>
      <c r="B9" s="18">
        <f>B8*(1+Assumptions!B12)/(Assumptions!B26-Assumptions!B12)</f>
        <v>130227658918.37021</v>
      </c>
    </row>
    <row r="10" spans="1:2" x14ac:dyDescent="0.25">
      <c r="A10" t="s">
        <v>61</v>
      </c>
      <c r="B10" s="18">
        <f>B9/(1+Assumptions!B26)^(5-0.5*Assumptions!B32)</f>
        <v>100026895535.33287</v>
      </c>
    </row>
    <row r="11" spans="1:2" x14ac:dyDescent="0.25">
      <c r="A11" t="s">
        <v>62</v>
      </c>
      <c r="B11" s="18">
        <f>Forecast!B17+B10</f>
        <v>114346547646.74132</v>
      </c>
    </row>
    <row r="12" spans="1:2" x14ac:dyDescent="0.25">
      <c r="A12" t="s">
        <v>63</v>
      </c>
      <c r="B12" s="18">
        <f>-Assumptions!B30</f>
        <v>-27621000000</v>
      </c>
    </row>
    <row r="13" spans="1:2" x14ac:dyDescent="0.25">
      <c r="A13" t="s">
        <v>64</v>
      </c>
      <c r="B13" s="18">
        <f>B11+B12</f>
        <v>86725547646.74132</v>
      </c>
    </row>
    <row r="14" spans="1:2" x14ac:dyDescent="0.25">
      <c r="A14" s="19" t="s">
        <v>65</v>
      </c>
      <c r="B14" s="24">
        <f>B13/Assumptions!B31</f>
        <v>36.07551898782917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11077115212.317078</v>
      </c>
    </row>
    <row r="18" spans="1:2" x14ac:dyDescent="0.25">
      <c r="A18" t="s">
        <v>60</v>
      </c>
      <c r="B18" s="18">
        <f>B17*Assumptions!B13</f>
        <v>105247166307.48746</v>
      </c>
    </row>
    <row r="19" spans="1:2" x14ac:dyDescent="0.25">
      <c r="A19" t="s">
        <v>61</v>
      </c>
      <c r="B19" s="18">
        <f>B18/(1+Assumptions!B26)^(5-0.5*Assumptions!B32)</f>
        <v>80839565089.83833</v>
      </c>
    </row>
    <row r="20" spans="1:2" x14ac:dyDescent="0.25">
      <c r="A20" t="s">
        <v>62</v>
      </c>
      <c r="B20" s="18">
        <f>Forecast!B17+B19</f>
        <v>95159217201.24678</v>
      </c>
    </row>
    <row r="21" spans="1:2" x14ac:dyDescent="0.25">
      <c r="A21" t="s">
        <v>63</v>
      </c>
      <c r="B21" s="18">
        <f>-Assumptions!B30</f>
        <v>-27621000000</v>
      </c>
    </row>
    <row r="22" spans="1:2" x14ac:dyDescent="0.25">
      <c r="A22" t="s">
        <v>64</v>
      </c>
      <c r="B22" s="18">
        <f>B20+B21</f>
        <v>67538217201.24678</v>
      </c>
    </row>
    <row r="23" spans="1:2" x14ac:dyDescent="0.25">
      <c r="A23" s="19" t="s">
        <v>65</v>
      </c>
      <c r="B23" s="25">
        <f>B22/Assumptions!B31</f>
        <v>28.09410033329733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2280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2693.5064741882893</v>
      </c>
    </row>
    <row r="29" spans="1:2" x14ac:dyDescent="0.25">
      <c r="A29" s="19" t="s">
        <v>73</v>
      </c>
      <c r="B29" s="12">
        <f>B28/B26-1</f>
        <v>0.18136248867907434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0.040385</v>
      </c>
      <c r="B5" s="31">
        <v>61.88418214883505</v>
      </c>
      <c r="C5" s="31">
        <v>62.21481949011576</v>
      </c>
      <c r="D5" s="31">
        <v>62.54545683139647</v>
      </c>
      <c r="E5" s="31">
        <v>62.87609417267716</v>
      </c>
      <c r="F5" s="31">
        <v>63.20673151395792</v>
      </c>
    </row>
    <row r="6" spans="1:6" x14ac:dyDescent="0.25">
      <c r="A6" s="30">
        <v>0.050385</v>
      </c>
      <c r="B6" s="31">
        <v>46.14420872887913</v>
      </c>
      <c r="C6" s="31">
        <v>46.39805792538886</v>
      </c>
      <c r="D6" s="31">
        <v>46.65190712189858</v>
      </c>
      <c r="E6" s="31">
        <v>46.9057563184083</v>
      </c>
      <c r="F6" s="31">
        <v>47.15960551491802</v>
      </c>
    </row>
    <row r="7" spans="1:6" x14ac:dyDescent="0.25">
      <c r="A7" s="30">
        <v>0.060385</v>
      </c>
      <c r="B7" s="31">
        <v>35.66974897246296</v>
      </c>
      <c r="C7" s="31">
        <v>35.87271819831066</v>
      </c>
      <c r="D7" s="32">
        <v>36.075687424158325</v>
      </c>
      <c r="E7" s="31">
        <v>36.27865665000602</v>
      </c>
      <c r="F7" s="31">
        <v>36.4816258758537</v>
      </c>
    </row>
    <row r="8" spans="1:6" x14ac:dyDescent="0.25">
      <c r="A8" s="30">
        <v>0.070385</v>
      </c>
      <c r="B8" s="31">
        <v>28.21385540327503</v>
      </c>
      <c r="C8" s="31">
        <v>28.380785704301832</v>
      </c>
      <c r="D8" s="31">
        <v>28.547716005328606</v>
      </c>
      <c r="E8" s="31">
        <v>28.714646306355398</v>
      </c>
      <c r="F8" s="31">
        <v>28.881576607382193</v>
      </c>
    </row>
    <row r="9" spans="1:6" x14ac:dyDescent="0.25">
      <c r="A9" s="30">
        <v>0.080385</v>
      </c>
      <c r="B9" s="31">
        <v>22.647829687277643</v>
      </c>
      <c r="C9" s="31">
        <v>22.788003499256998</v>
      </c>
      <c r="D9" s="31">
        <v>22.928177311236347</v>
      </c>
      <c r="E9" s="31">
        <v>23.0683511232157</v>
      </c>
      <c r="F9" s="31">
        <v>23.20852493519504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20553000000</v>
      </c>
      <c r="C5" s="18">
        <v>20046000000</v>
      </c>
      <c r="D5" s="18">
        <v>17456000000</v>
      </c>
      <c r="E5" s="18">
        <v>16158000000</v>
      </c>
      <c r="F5" s="8" t="s">
        <v>84</v>
      </c>
    </row>
    <row r="6" spans="1:6" x14ac:dyDescent="0.25">
      <c r="A6" t="s">
        <v>44</v>
      </c>
      <c r="B6" s="18">
        <v>6963000000</v>
      </c>
      <c r="C6" s="18">
        <v>6014000000</v>
      </c>
      <c r="D6" s="18">
        <v>5093000000</v>
      </c>
      <c r="E6" s="18">
        <v>4286000000</v>
      </c>
      <c r="F6" s="8" t="s">
        <v>85</v>
      </c>
    </row>
    <row r="7" spans="1:6" x14ac:dyDescent="0.25">
      <c r="A7" t="s">
        <v>86</v>
      </c>
      <c r="B7" s="18">
        <v>1170000000</v>
      </c>
      <c r="C7" s="18">
        <v>1126000000</v>
      </c>
      <c r="D7" s="18">
        <v>1071000000</v>
      </c>
      <c r="E7" s="18">
        <v>1186000000</v>
      </c>
      <c r="F7" s="8" t="s">
        <v>87</v>
      </c>
    </row>
    <row r="8" spans="1:6" x14ac:dyDescent="0.25">
      <c r="A8" t="s">
        <v>88</v>
      </c>
      <c r="B8" s="18">
        <v>1357000000</v>
      </c>
      <c r="C8" s="18">
        <v>1409000000</v>
      </c>
      <c r="D8" s="18">
        <v>1283000000</v>
      </c>
      <c r="E8" s="18">
        <v>1931000000</v>
      </c>
      <c r="F8" s="8" t="s">
        <v>89</v>
      </c>
    </row>
    <row r="9" spans="1:6" x14ac:dyDescent="0.25">
      <c r="A9" t="s">
        <v>90</v>
      </c>
      <c r="B9" s="18">
        <v>-29791000000</v>
      </c>
      <c r="C9" s="18">
        <v>27058000000</v>
      </c>
      <c r="D9" s="18">
        <v>12481000000</v>
      </c>
      <c r="E9" s="18">
        <v>-21775000000</v>
      </c>
      <c r="F9" s="8" t="s">
        <v>91</v>
      </c>
    </row>
    <row r="10" spans="1:6" x14ac:dyDescent="0.25">
      <c r="A10" t="s">
        <v>92</v>
      </c>
      <c r="B10" s="18">
        <v>105367000000</v>
      </c>
      <c r="C10" s="18">
        <v>96247000000</v>
      </c>
      <c r="D10" s="18">
        <v>93025000000</v>
      </c>
      <c r="E10" s="18">
        <v>91672000000</v>
      </c>
      <c r="F10" s="8" t="s">
        <v>93</v>
      </c>
    </row>
    <row r="11" spans="1:6" x14ac:dyDescent="0.25">
      <c r="A11" t="s">
        <v>94</v>
      </c>
      <c r="B11" s="18">
        <v>77746000000</v>
      </c>
      <c r="C11" s="18">
        <v>63447000000</v>
      </c>
      <c r="D11" s="18">
        <v>69905000000</v>
      </c>
      <c r="E11" s="18">
        <v>58263000000</v>
      </c>
      <c r="F11" s="8" t="s">
        <v>95</v>
      </c>
    </row>
    <row r="12" spans="1:6" x14ac:dyDescent="0.25">
      <c r="A12" t="s">
        <v>32</v>
      </c>
      <c r="B12" s="34">
        <v>2404000000</v>
      </c>
      <c r="C12" s="34">
        <v>2610000000</v>
      </c>
      <c r="D12" s="34">
        <v>2841000000</v>
      </c>
      <c r="E12" s="34">
        <v>3023000000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54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2026-09-19T00:07:46Z</dcterms:modified>
</cp:coreProperties>
</file>