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<sst xmlns="http://schemas.openxmlformats.org/spreadsheetml/2006/main" count="111" uniqueCount="99">
  <si>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STERIS plc (STE)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</si>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</sst>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0.09377842934242775</v>
      </c>
    </row>
    <row r="7" spans="1:2" x14ac:dyDescent="0.25">
      <c r="A7" t="s">
        <v>5</v>
      </c>
      <c r="B7" s="6">
        <v>0.17614986849512493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0.10026391646621353</v>
      </c>
    </row>
    <row r="10" spans="1:2" x14ac:dyDescent="0.25">
      <c r="A10" t="s">
        <v>8</v>
      </c>
      <c r="B10" s="6">
        <v>0.06996592581683139</v>
      </c>
    </row>
    <row r="11" spans="1:2" x14ac:dyDescent="0.25">
      <c r="A11" t="s">
        <v>9</v>
      </c>
      <c r="B11" s="6">
        <v>-0.05688497061293031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13.588936809846771</v>
      </c>
    </row>
    <row r="14" spans="1:3" x14ac:dyDescent="0.25">
      <c r="A14" t="s">
        <v>12</v>
      </c>
      <c r="B14" s="6">
        <v>0.09591885282018227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0.94238</v>
      </c>
      <c r="C19" s="8" t="s">
        <v>19</v>
      </c>
    </row>
    <row r="20" spans="1:2" x14ac:dyDescent="0.25">
      <c r="A20" t="s">
        <v>20</v>
      </c>
      <c r="B20" s="10">
        <f>B17+B19*B18</f>
        <v>0.10181090000000001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19991422976</v>
      </c>
    </row>
    <row r="23" spans="1:2" x14ac:dyDescent="0.25">
      <c r="A23" t="s">
        <v>24</v>
      </c>
      <c r="B23" s="11">
        <v>2087200000</v>
      </c>
    </row>
    <row r="24" spans="1:2" x14ac:dyDescent="0.25">
      <c r="A24" t="s">
        <v>25</v>
      </c>
      <c r="B24" s="10">
        <f>B22/(B22+B23)</f>
        <v>0.9054651188043368</v>
      </c>
    </row>
    <row r="25" spans="1:2" x14ac:dyDescent="0.25">
      <c r="A25" t="s">
        <v>26</v>
      </c>
      <c r="B25" s="10">
        <f>1-B24</f>
        <v>0.09453488119566322</v>
      </c>
    </row>
    <row r="26" spans="1:2" x14ac:dyDescent="0.25">
      <c r="A26" t="s">
        <v>27</v>
      </c>
      <c r="B26" s="12">
        <f>B24*B20+B25*B21*(1-B8)</f>
        <v>0.09591885282018227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5935900000</v>
      </c>
      <c r="C29" s="8" t="s">
        <v>30</v>
      </c>
    </row>
    <row r="30" spans="1:2" x14ac:dyDescent="0.25">
      <c r="A30" t="s">
        <v>31</v>
      </c>
      <c r="B30" s="11">
        <v>1647600000</v>
      </c>
    </row>
    <row r="31" spans="1:2" x14ac:dyDescent="0.25">
      <c r="A31" t="s">
        <v>32</v>
      </c>
      <c r="B31" s="13">
        <v>98700000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0.09377842934242775</v>
      </c>
      <c r="C5" s="10">
        <f>Assumptions!B6</f>
        <v>0.09377842934242775</v>
      </c>
      <c r="D5" s="10">
        <f>Assumptions!B6</f>
        <v>0.09377842934242775</v>
      </c>
      <c r="E5" s="10">
        <f>Assumptions!B6</f>
        <v>0.09377842934242775</v>
      </c>
      <c r="F5" s="10">
        <f>Assumptions!B6</f>
        <v>0.09377842934242775</v>
      </c>
    </row>
    <row r="6" spans="1:6" x14ac:dyDescent="0.25">
      <c r="A6" t="s">
        <v>43</v>
      </c>
      <c r="B6" s="18">
        <f>Assumptions!B29*(1+B5)</f>
        <v>6492559378.733717</v>
      </c>
      <c r="C6" s="18">
        <f>B6*(1+C5)</f>
        <v>7101421399.683813</v>
      </c>
      <c r="D6" s="18">
        <f>C6*(1+D5)</f>
        <v>7767381544.644866</v>
      </c>
      <c r="E6" s="18">
        <f>D6*(1+E5)</f>
        <v>8495794386.005022</v>
      </c>
      <c r="F6" s="18">
        <f>E6*(1+F5)</f>
        <v>9292516639.540789</v>
      </c>
    </row>
    <row r="7" spans="1:6" x14ac:dyDescent="0.25">
      <c r="A7" t="s">
        <v>5</v>
      </c>
      <c r="B7" s="10">
        <f>Assumptions!B7</f>
        <v>0.17614986849512493</v>
      </c>
      <c r="C7" s="10">
        <f>Assumptions!B7</f>
        <v>0.17614986849512493</v>
      </c>
      <c r="D7" s="10">
        <f>Assumptions!B7</f>
        <v>0.17614986849512493</v>
      </c>
      <c r="E7" s="10">
        <f>Assumptions!B7</f>
        <v>0.17614986849512493</v>
      </c>
      <c r="F7" s="10">
        <f>Assumptions!B7</f>
        <v>0.17614986849512493</v>
      </c>
    </row>
    <row r="8" spans="1:6" x14ac:dyDescent="0.25">
      <c r="A8" t="s">
        <v>44</v>
      </c>
      <c r="B8" s="18">
        <f>B6*B7</f>
        <v>1143663480.7607343</v>
      </c>
      <c r="C8" s="18">
        <f>C6*C7</f>
        <v>1250914445.6827698</v>
      </c>
      <c r="D8" s="18">
        <f>D6*D7</f>
        <v>1368223237.6406534</v>
      </c>
      <c r="E8" s="18">
        <f>E6*E7</f>
        <v>1496533063.8564053</v>
      </c>
      <c r="F8" s="18">
        <f>F6*F7</f>
        <v>1636875584.0438702</v>
      </c>
    </row>
    <row r="9" spans="1:6" x14ac:dyDescent="0.25">
      <c r="A9" t="s">
        <v>45</v>
      </c>
      <c r="B9" s="18">
        <f>B8*(1-Assumptions!B8)</f>
        <v>903494149.8009802</v>
      </c>
      <c r="C9" s="18">
        <f>C8*(1-Assumptions!B8)</f>
        <v>988222412.0893881</v>
      </c>
      <c r="D9" s="18">
        <f>D8*(1-Assumptions!B8)</f>
        <v>1080896357.7361162</v>
      </c>
      <c r="E9" s="18">
        <f>E8*(1-Assumptions!B8)</f>
        <v>1182261120.4465601</v>
      </c>
      <c r="F9" s="18">
        <f>F8*(1-Assumptions!B8)</f>
        <v>1293131711.3946576</v>
      </c>
    </row>
    <row r="10" spans="1:6" x14ac:dyDescent="0.25">
      <c r="A10" t="s">
        <v>46</v>
      </c>
      <c r="B10" s="18">
        <f>B6*Assumptions!B9</f>
        <v>650969431.2012887</v>
      </c>
      <c r="C10" s="18">
        <f>C6*Assumptions!B9</f>
        <v>712016322.009279</v>
      </c>
      <c r="D10" s="18">
        <f>D6*Assumptions!B9</f>
        <v>778788094.3534815</v>
      </c>
      <c r="E10" s="18">
        <f>E6*Assumptions!B9</f>
        <v>851821618.6325334</v>
      </c>
      <c r="F10" s="18">
        <f>F6*Assumptions!B9</f>
        <v>931704112.1078169</v>
      </c>
    </row>
    <row r="11" spans="1:6" x14ac:dyDescent="0.25">
      <c r="A11" t="s">
        <v>47</v>
      </c>
      <c r="B11" s="18">
        <f>-B6*Assumptions!B10</f>
        <v>-454257927.85385615</v>
      </c>
      <c r="C11" s="18">
        <f>-C6*Assumptions!B10</f>
        <v>-496857522.8443366</v>
      </c>
      <c r="D11" s="18">
        <f>-D6*Assumptions!B10</f>
        <v>-543452040.943648</v>
      </c>
      <c r="E11" s="18">
        <f>-E6*Assumptions!B10</f>
        <v>-594416119.7662799</v>
      </c>
      <c r="F11" s="18">
        <f>-F6*Assumptions!B10</f>
        <v>-650159529.8537822</v>
      </c>
    </row>
    <row r="12" spans="1:6" x14ac:dyDescent="0.25">
      <c r="A12" t="s">
        <v>48</v>
      </c>
      <c r="B12" s="18">
        <f>-(B6-Assumptions!B29)*Assumptions!B11</f>
        <v>31665552.400679532</v>
      </c>
      <c r="C12" s="18">
        <f>-(C6-B6)*Assumptions!B11</f>
        <v>34635098.16907558</v>
      </c>
      <c r="D12" s="18">
        <f>-(D6-C6)*Assumptions!B11</f>
        <v>37883123.2754923</v>
      </c>
      <c r="E12" s="18">
        <f>-(E6-D6)*Assumptions!B11</f>
        <v>41435743.07485355</v>
      </c>
      <c r="F12" s="18">
        <f>-(F6-E6)*Assumptions!B11</f>
        <v>45321521.9790497</v>
      </c>
    </row>
    <row r="13" spans="1:6" x14ac:dyDescent="0.25">
      <c r="A13" s="19" t="s">
        <v>49</v>
      </c>
      <c r="B13" s="20">
        <f>B9+B10+B11+B12</f>
        <v>1131871205.5490923</v>
      </c>
      <c r="C13" s="20">
        <f>C9+C10+C11+C12</f>
        <v>1238016309.4234061</v>
      </c>
      <c r="D13" s="20">
        <f>D9+D10+D11+D12</f>
        <v>1354115534.421442</v>
      </c>
      <c r="E13" s="20">
        <f>E9+E10+E11+E12</f>
        <v>1481102362.3876672</v>
      </c>
      <c r="F13" s="20">
        <f>F9+F10+F11+F12</f>
        <v>1619997815.6277423</v>
      </c>
    </row>
    <row r="14" spans="1:6" x14ac:dyDescent="0.25">
      <c r="A14" t="s">
        <v>50</v>
      </c>
      <c r="B14" s="21">
        <f>1/(1+Assumptions!$B$26)^(1-0.5*Assumptions!$B$32)</f>
        <v>0.9552362630894309</v>
      </c>
      <c r="C14" s="21">
        <f>1/(1+Assumptions!$B$26)^(2-0.5*Assumptions!$B$32)</f>
        <v>0.8716304684706118</v>
      </c>
      <c r="D14" s="21">
        <f>1/(1+Assumptions!$B$26)^(3-0.5*Assumptions!$B$32)</f>
        <v>0.795342160806525</v>
      </c>
      <c r="E14" s="21">
        <f>1/(1+Assumptions!$B$26)^(4-0.5*Assumptions!$B$32)</f>
        <v>0.7257308866982548</v>
      </c>
      <c r="F14" s="21">
        <f>1/(1+Assumptions!$B$26)^(5-0.5*Assumptions!$B$32)</f>
        <v>0.6622122475863023</v>
      </c>
    </row>
    <row r="15" spans="1:6" x14ac:dyDescent="0.25">
      <c r="A15" s="19" t="s">
        <v>51</v>
      </c>
      <c r="B15" s="20">
        <f>B13*B14</f>
        <v>1081204420.687244</v>
      </c>
      <c r="C15" s="20">
        <f>C13*C14</f>
        <v>1079092735.7569814</v>
      </c>
      <c r="D15" s="20">
        <f>D13*D14</f>
        <v>1076985175.128432</v>
      </c>
      <c r="E15" s="20">
        <f>E13*E14</f>
        <v>1074881730.7464817</v>
      </c>
      <c r="F15" s="20">
        <f>F13*F14</f>
        <v>1072782394.5717473</v>
      </c>
    </row>
    <row r="17" spans="1:2" x14ac:dyDescent="0.25">
      <c r="A17" s="22" t="s">
        <v>52</v>
      </c>
      <c r="B17" s="23">
        <f>SUM(B15:F15)</f>
        <v>5384946456.890886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1619997815.6277423</v>
      </c>
    </row>
    <row r="5" spans="1:2" x14ac:dyDescent="0.25">
      <c r="A5" t="s">
        <v>56</v>
      </c>
      <c r="B5" s="18">
        <f>IF(Assumptions!$B$33=0,B4,B4-Forecast!F11-Forecast!F10-Forecast!F12)</f>
        <v>1293131711.3946576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0.26063697870602304</v>
      </c>
    </row>
    <row r="7" spans="1:2" x14ac:dyDescent="0.25">
      <c r="A7" t="s">
        <v>58</v>
      </c>
      <c r="B7" s="18">
        <f>-MAX(Forecast!F9,0)*B6</f>
        <v>-337037942.3268525</v>
      </c>
    </row>
    <row r="8" spans="1:2" x14ac:dyDescent="0.25">
      <c r="A8" t="s">
        <v>59</v>
      </c>
      <c r="B8" s="18">
        <f>IF(OR(Assumptions!$B$33=0,Assumptions!B12&lt;=0),B5,MAX(B5+B7,0))</f>
        <v>956093769.067805</v>
      </c>
    </row>
    <row r="9" spans="1:2" x14ac:dyDescent="0.25">
      <c r="A9" t="s">
        <v>60</v>
      </c>
      <c r="B9" s="18">
        <f>B8*(1+Assumptions!B12)/(Assumptions!B26-Assumptions!B12)</f>
        <v>13818555635.40095</v>
      </c>
    </row>
    <row r="10" spans="1:2" x14ac:dyDescent="0.25">
      <c r="A10" t="s">
        <v>61</v>
      </c>
      <c r="B10" s="18">
        <f>B9/(1+Assumptions!B26)^(5-0.5*Assumptions!B32)</f>
        <v>9150816785.715225</v>
      </c>
    </row>
    <row r="11" spans="1:2" x14ac:dyDescent="0.25">
      <c r="A11" t="s">
        <v>62</v>
      </c>
      <c r="B11" s="18">
        <f>Forecast!B17+B10</f>
        <v>14535763242.606112</v>
      </c>
    </row>
    <row r="12" spans="1:2" x14ac:dyDescent="0.25">
      <c r="A12" t="s">
        <v>63</v>
      </c>
      <c r="B12" s="18">
        <f>-Assumptions!B30</f>
        <v>-1647600000</v>
      </c>
    </row>
    <row r="13" spans="1:2" x14ac:dyDescent="0.25">
      <c r="A13" t="s">
        <v>64</v>
      </c>
      <c r="B13" s="18">
        <f>B11+B12</f>
        <v>12888163242.606112</v>
      </c>
    </row>
    <row r="14" spans="1:2" x14ac:dyDescent="0.25">
      <c r="A14" s="19" t="s">
        <v>65</v>
      </c>
      <c r="B14" s="24">
        <f>B13/Assumptions!B31</f>
        <v>130.57916152589777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2568579696.151687</v>
      </c>
    </row>
    <row r="18" spans="1:2" x14ac:dyDescent="0.25">
      <c r="A18" t="s">
        <v>60</v>
      </c>
      <c r="B18" s="18">
        <f>B17*Assumptions!B13</f>
        <v>34904267182.0607</v>
      </c>
    </row>
    <row r="19" spans="1:2" x14ac:dyDescent="0.25">
      <c r="A19" t="s">
        <v>61</v>
      </c>
      <c r="B19" s="18">
        <f>B18/(1+Assumptions!B26)^(5-0.5*Assumptions!B32)</f>
        <v>23114033220.985226</v>
      </c>
    </row>
    <row r="20" spans="1:2" x14ac:dyDescent="0.25">
      <c r="A20" t="s">
        <v>62</v>
      </c>
      <c r="B20" s="18">
        <f>Forecast!B17+B19</f>
        <v>28498979677.876114</v>
      </c>
    </row>
    <row r="21" spans="1:2" x14ac:dyDescent="0.25">
      <c r="A21" t="s">
        <v>63</v>
      </c>
      <c r="B21" s="18">
        <f>-Assumptions!B30</f>
        <v>-1647600000</v>
      </c>
    </row>
    <row r="22" spans="1:2" x14ac:dyDescent="0.25">
      <c r="A22" t="s">
        <v>64</v>
      </c>
      <c r="B22" s="18">
        <f>B20+B21</f>
        <v>26851379677.876114</v>
      </c>
    </row>
    <row r="23" spans="1:2" x14ac:dyDescent="0.25">
      <c r="A23" s="19" t="s">
        <v>65</v>
      </c>
      <c r="B23" s="25">
        <f>B22/Assumptions!B31</f>
        <v>272.05045266338516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205.04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130.57916152589777</v>
      </c>
    </row>
    <row r="29" spans="1:2" x14ac:dyDescent="0.25">
      <c r="A29" s="19" t="s">
        <v>73</v>
      </c>
      <c r="B29" s="12">
        <f>B28/B26-1</f>
        <v>-0.3631527432408419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0.075919</v>
      </c>
      <c r="B5" s="31">
        <v>167.94657017879308</v>
      </c>
      <c r="C5" s="31">
        <v>169.2461348009372</v>
      </c>
      <c r="D5" s="31">
        <v>170.68480779404808</v>
      </c>
      <c r="E5" s="31">
        <v>172.308030599893</v>
      </c>
      <c r="F5" s="31">
        <v>174.18345509635276</v>
      </c>
    </row>
    <row r="6" spans="1:6" x14ac:dyDescent="0.25">
      <c r="A6" s="30">
        <v>0.085919</v>
      </c>
      <c r="B6" s="31">
        <v>145.94363935637767</v>
      </c>
      <c r="C6" s="31">
        <v>146.46979951088107</v>
      </c>
      <c r="D6" s="31">
        <v>146.99595966538445</v>
      </c>
      <c r="E6" s="31">
        <v>147.52211981988782</v>
      </c>
      <c r="F6" s="31">
        <v>148.0482799743912</v>
      </c>
    </row>
    <row r="7" spans="1:6" x14ac:dyDescent="0.25">
      <c r="A7" s="30">
        <v>0.095919</v>
      </c>
      <c r="B7" s="31">
        <v>129.67442548832062</v>
      </c>
      <c r="C7" s="31">
        <v>130.12668521670832</v>
      </c>
      <c r="D7" s="32">
        <v>130.57894494509597</v>
      </c>
      <c r="E7" s="31">
        <v>131.03120467348367</v>
      </c>
      <c r="F7" s="31">
        <v>131.48346440187134</v>
      </c>
    </row>
    <row r="8" spans="1:6" x14ac:dyDescent="0.25">
      <c r="A8" s="30">
        <v>0.105919</v>
      </c>
      <c r="B8" s="31">
        <v>116.45802938604668</v>
      </c>
      <c r="C8" s="31">
        <v>116.85118710292942</v>
      </c>
      <c r="D8" s="31">
        <v>117.24434481981216</v>
      </c>
      <c r="E8" s="31">
        <v>117.63750253669488</v>
      </c>
      <c r="F8" s="31">
        <v>118.03066025357761</v>
      </c>
    </row>
    <row r="9" spans="1:6" x14ac:dyDescent="0.25">
      <c r="A9" s="30">
        <v>0.115919</v>
      </c>
      <c r="B9" s="31">
        <v>105.50559047585269</v>
      </c>
      <c r="C9" s="31">
        <v>105.8505705120031</v>
      </c>
      <c r="D9" s="31">
        <v>106.1955505481535</v>
      </c>
      <c r="E9" s="31">
        <v>106.54053058430391</v>
      </c>
      <c r="F9" s="31">
        <v>106.88551062045433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5935900000</v>
      </c>
      <c r="C5" s="18">
        <v>5459500000</v>
      </c>
      <c r="D5" s="18">
        <v>5138700000</v>
      </c>
      <c r="E5" s="18">
        <v>4536266000</v>
      </c>
      <c r="F5" s="8" t="s">
        <v>84</v>
      </c>
    </row>
    <row r="6" spans="1:6" x14ac:dyDescent="0.25">
      <c r="A6" t="s">
        <v>44</v>
      </c>
      <c r="B6" s="18">
        <v>1105900000</v>
      </c>
      <c r="C6" s="18">
        <v>960900000</v>
      </c>
      <c r="D6" s="18">
        <v>862200000</v>
      </c>
      <c r="E6" s="18">
        <v>791586000</v>
      </c>
      <c r="F6" s="8" t="s">
        <v>85</v>
      </c>
    </row>
    <row r="7" spans="1:6" x14ac:dyDescent="0.25">
      <c r="A7" t="s">
        <v>86</v>
      </c>
      <c r="B7" s="18">
        <v>486500000</v>
      </c>
      <c r="C7" s="18">
        <v>476200000</v>
      </c>
      <c r="D7" s="18">
        <v>565200000</v>
      </c>
      <c r="E7" s="18">
        <v>552897000</v>
      </c>
      <c r="F7" s="8" t="s">
        <v>87</v>
      </c>
    </row>
    <row r="8" spans="1:6" x14ac:dyDescent="0.25">
      <c r="A8" t="s">
        <v>88</v>
      </c>
      <c r="B8" s="18">
        <v>369000000</v>
      </c>
      <c r="C8" s="18">
        <v>370100000</v>
      </c>
      <c r="D8" s="18">
        <v>360300000</v>
      </c>
      <c r="E8" s="18">
        <v>361969000</v>
      </c>
      <c r="F8" s="8" t="s">
        <v>89</v>
      </c>
    </row>
    <row r="9" spans="1:6" x14ac:dyDescent="0.25">
      <c r="A9" t="s">
        <v>90</v>
      </c>
      <c r="B9" s="18">
        <v>-27100000</v>
      </c>
      <c r="C9" s="18">
        <v>-66500000</v>
      </c>
      <c r="D9" s="18">
        <v>146200000</v>
      </c>
      <c r="E9" s="18">
        <v>250023000</v>
      </c>
      <c r="F9" s="8" t="s">
        <v>91</v>
      </c>
    </row>
    <row r="10" spans="1:6" x14ac:dyDescent="0.25">
      <c r="A10" t="s">
        <v>92</v>
      </c>
      <c r="B10" s="18">
        <v>2087200000</v>
      </c>
      <c r="C10" s="18">
        <v>2202500000</v>
      </c>
      <c r="D10" s="18">
        <v>3383167000</v>
      </c>
      <c r="E10" s="18">
        <v>3248277000</v>
      </c>
      <c r="F10" s="8" t="s">
        <v>93</v>
      </c>
    </row>
    <row r="11" spans="1:6" x14ac:dyDescent="0.25">
      <c r="A11" t="s">
        <v>94</v>
      </c>
      <c r="B11" s="18">
        <v>439600000</v>
      </c>
      <c r="C11" s="18">
        <v>171700000</v>
      </c>
      <c r="D11" s="18">
        <v>207020000</v>
      </c>
      <c r="E11" s="18">
        <v>208357000</v>
      </c>
      <c r="F11" s="8" t="s">
        <v>95</v>
      </c>
    </row>
    <row r="12" spans="1:6" x14ac:dyDescent="0.25">
      <c r="A12" t="s">
        <v>32</v>
      </c>
      <c r="B12" s="34">
        <v>98700000</v>
      </c>
      <c r="C12" s="34">
        <v>99069000</v>
      </c>
      <c r="D12" s="34">
        <v>99359000</v>
      </c>
      <c r="E12" s="34">
        <v>100246000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2026-09-19T00:06:38Z</dcterms:modified>
</cp:coreProperties>
</file>