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<sst xmlns="http://schemas.openxmlformats.org/spreadsheetml/2006/main" count="119" uniqueCount="106">
  <si>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STERIS plc (STE)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</si>
  <si>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</si>
  <si>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</si>
  <si>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</si>
  <si>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</si>
  <si>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</si>
  <si>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</si>
  <si>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</si>
  <si>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</si>
  <si>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</si>
  <si>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</si>
  <si>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</si>
  <si>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</si>
  <si>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</si>
  <si>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</si>
  <si>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</si>
  <si>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</si>
  <si>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</si>
  <si>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</si>
  <si>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</si>
  <si>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</si>
  <si>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</si>
  <si>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</si>
  <si>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</si>
  <si>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18.2x interest cover. Book interest / average debt was lower, at 2.8%.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</si>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</sst>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0.07467471487053357</v>
      </c>
    </row>
    <row r="7" spans="1:2" x14ac:dyDescent="0.25">
      <c r="A7" t="s">
        <v>4</v>
      </c>
      <c r="B7" s="5">
        <v>0.17614986849512493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0.10026391646621353</v>
      </c>
    </row>
    <row r="10" spans="1:3" x14ac:dyDescent="0.25">
      <c r="A10" t="s">
        <v>7</v>
      </c>
      <c r="B10" s="5">
        <v>0.06996592581683139</v>
      </c>
      <c r="C10" s="6" t="s">
        <v>8</v>
      </c>
    </row>
    <row r="11" spans="1:2" x14ac:dyDescent="0.25">
      <c r="A11" t="s">
        <v>9</v>
      </c>
      <c r="B11" s="5">
        <v>0.25597815846529615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14.940859884451143</v>
      </c>
    </row>
    <row r="14" spans="1:3" x14ac:dyDescent="0.25">
      <c r="A14" t="s">
        <v>12</v>
      </c>
      <c r="B14" s="5">
        <v>0.0850408925519739</v>
      </c>
      <c r="C14" s="6" t="s">
        <v>13</v>
      </c>
    </row>
    <row r="15" spans="1:3" x14ac:dyDescent="0.25">
      <c r="A15" t="s">
        <v>14</v>
      </c>
      <c r="B15" s="5">
        <v>0.10026391646621353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0.94975</v>
      </c>
      <c r="C19" s="6" t="s">
        <v>21</v>
      </c>
    </row>
    <row r="20" spans="1:2" x14ac:dyDescent="0.25">
      <c r="A20" t="s">
        <v>22</v>
      </c>
      <c r="B20" s="9">
        <f>B17+B19*B18</f>
        <v>0.089114425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22144225280</v>
      </c>
    </row>
    <row r="23" spans="1:2" x14ac:dyDescent="0.25">
      <c r="A23" t="s">
        <v>26</v>
      </c>
      <c r="B23" s="10">
        <v>2087200000</v>
      </c>
    </row>
    <row r="24" spans="1:2" x14ac:dyDescent="0.25">
      <c r="A24" t="s">
        <v>27</v>
      </c>
      <c r="B24" s="9">
        <f>B22/(B22+B23)</f>
        <v>0.9138639194400702</v>
      </c>
    </row>
    <row r="25" spans="1:2" x14ac:dyDescent="0.25">
      <c r="A25" t="s">
        <v>28</v>
      </c>
      <c r="B25" s="9">
        <f>1-B24</f>
        <v>0.08613608055992983</v>
      </c>
    </row>
    <row r="26" spans="1:2" x14ac:dyDescent="0.25">
      <c r="A26" t="s">
        <v>29</v>
      </c>
      <c r="B26" s="11">
        <f>B24*B20+B25*B21*(1-B8)</f>
        <v>0.0850408925519739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5935900000</v>
      </c>
      <c r="C29" s="6" t="s">
        <v>32</v>
      </c>
    </row>
    <row r="30" spans="1:2" x14ac:dyDescent="0.25">
      <c r="A30" t="s">
        <v>33</v>
      </c>
      <c r="B30" s="10">
        <v>1647600000</v>
      </c>
    </row>
    <row r="31" spans="1:2" x14ac:dyDescent="0.25">
      <c r="A31" t="s">
        <v>34</v>
      </c>
      <c r="B31" s="12">
        <v>98700000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0.07467471487053357</v>
      </c>
      <c r="C5" s="5">
        <v>0.06725269780121135</v>
      </c>
      <c r="D5" s="5">
        <v>0.06197111057605993</v>
      </c>
      <c r="E5" s="5">
        <v>0.05668952335090851</v>
      </c>
      <c r="F5" s="5">
        <v>0.051407936125757094</v>
      </c>
      <c r="G5" s="5">
        <v>0.04612634890060567</v>
      </c>
      <c r="H5" s="5">
        <v>0.040844761675454255</v>
      </c>
      <c r="I5" s="5">
        <v>0.03556317445030284</v>
      </c>
      <c r="J5" s="5">
        <v>0.030281587225151417</v>
      </c>
      <c r="K5" s="5">
        <v>0.025</v>
      </c>
    </row>
    <row r="6" spans="1:11" x14ac:dyDescent="0.25">
      <c r="A6" t="s">
        <v>50</v>
      </c>
      <c r="B6" s="18">
        <f>Assumptions!B29*(1+B5)</f>
        <v>6379161640</v>
      </c>
      <c r="C6" s="18">
        <f>B6*(1+C5)</f>
        <v>6808177470</v>
      </c>
      <c r="D6" s="18">
        <f>C6*(1+D5)</f>
        <v>7230087788.81481</v>
      </c>
      <c r="E6" s="18">
        <f>D6*(1+E5)</f>
        <v>7639958019.347946</v>
      </c>
      <c r="F6" s="18">
        <f>E6*(1+F5)</f>
        <v>8032712493.210052</v>
      </c>
      <c r="G6" s="18">
        <f>F6*(1+G5)</f>
        <v>8403232192.2901125</v>
      </c>
      <c r="H6" s="18">
        <f>G6*(1+H5)</f>
        <v>8746460208.487707</v>
      </c>
      <c r="I6" s="18">
        <f>H6*(1+I5)</f>
        <v>9057512098.704788</v>
      </c>
      <c r="J6" s="18">
        <f>I6*(1+J5)</f>
        <v>9331787941.364582</v>
      </c>
      <c r="K6" s="18">
        <f>J6*(1+K5)</f>
        <v>9565082639.898695</v>
      </c>
    </row>
    <row r="7" spans="1:11" x14ac:dyDescent="0.25">
      <c r="A7" t="s">
        <v>4</v>
      </c>
      <c r="B7" s="9">
        <f>Assumptions!B7</f>
        <v>0.17614986849512493</v>
      </c>
      <c r="C7" s="9">
        <f>Assumptions!B7</f>
        <v>0.17614986849512493</v>
      </c>
      <c r="D7" s="9">
        <f>Assumptions!B7</f>
        <v>0.17614986849512493</v>
      </c>
      <c r="E7" s="9">
        <f>Assumptions!B7</f>
        <v>0.17614986849512493</v>
      </c>
      <c r="F7" s="9">
        <f>Assumptions!B7</f>
        <v>0.17614986849512493</v>
      </c>
      <c r="G7" s="9">
        <f>Assumptions!B7</f>
        <v>0.17614986849512493</v>
      </c>
      <c r="H7" s="9">
        <f>Assumptions!B7</f>
        <v>0.17614986849512493</v>
      </c>
      <c r="I7" s="9">
        <f>Assumptions!B7</f>
        <v>0.17614986849512493</v>
      </c>
      <c r="J7" s="9">
        <f>Assumptions!B7</f>
        <v>0.17614986849512493</v>
      </c>
      <c r="K7" s="9">
        <f>Assumptions!B7</f>
        <v>0.17614986849512493</v>
      </c>
    </row>
    <row r="8" spans="1:11" x14ac:dyDescent="0.25">
      <c r="A8" t="s">
        <v>51</v>
      </c>
      <c r="B8" s="18">
        <f>B6*B7</f>
        <v>1123688483.9951456</v>
      </c>
      <c r="C8" s="18">
        <f>C6*C7</f>
        <v>1199259566.0319724</v>
      </c>
      <c r="D8" s="18">
        <f>D6*D7</f>
        <v>1273579013.2079372</v>
      </c>
      <c r="E8" s="18">
        <f>E6*E7</f>
        <v>1345777600.416416</v>
      </c>
      <c r="F8" s="18">
        <f>F6*F7</f>
        <v>1414961249.3380976</v>
      </c>
      <c r="G8" s="18">
        <f>G6*G7</f>
        <v>1480228245.6059036</v>
      </c>
      <c r="H8" s="18">
        <f>H6*H7</f>
        <v>1540687815.5229526</v>
      </c>
      <c r="I8" s="18">
        <f>I6*I7</f>
        <v>1595479565.0798514</v>
      </c>
      <c r="J8" s="18">
        <f>J6*J7</f>
        <v>1643793218.6957636</v>
      </c>
      <c r="K8" s="18">
        <f>K6*K7</f>
        <v>1684888049.1631575</v>
      </c>
    </row>
    <row r="9" spans="1:11" x14ac:dyDescent="0.25">
      <c r="A9" t="s">
        <v>52</v>
      </c>
      <c r="B9" s="18">
        <f>B8*(1-Assumptions!B8)</f>
        <v>887713902.356165</v>
      </c>
      <c r="C9" s="18">
        <f>C8*(1-Assumptions!B8)</f>
        <v>947415057.1652583</v>
      </c>
      <c r="D9" s="18">
        <f>D8*(1-Assumptions!B8)</f>
        <v>1006127420.4342705</v>
      </c>
      <c r="E9" s="18">
        <f>E8*(1-Assumptions!B8)</f>
        <v>1063164304.3289686</v>
      </c>
      <c r="F9" s="18">
        <f>F8*(1-Assumptions!B8)</f>
        <v>1117819386.977097</v>
      </c>
      <c r="G9" s="18">
        <f>G8*(1-Assumptions!B8)</f>
        <v>1169380314.0286639</v>
      </c>
      <c r="H9" s="18">
        <f>H8*(1-Assumptions!B8)</f>
        <v>1217143374.2631326</v>
      </c>
      <c r="I9" s="18">
        <f>I8*(1-Assumptions!B8)</f>
        <v>1260428856.4130826</v>
      </c>
      <c r="J9" s="18">
        <f>J8*(1-Assumptions!B8)</f>
        <v>1298596642.7696533</v>
      </c>
      <c r="K9" s="18">
        <f>K8*(1-Assumptions!B8)</f>
        <v>1331061558.8388944</v>
      </c>
    </row>
    <row r="10" spans="1:11" x14ac:dyDescent="0.25">
      <c r="A10" t="s">
        <v>53</v>
      </c>
      <c r="B10" s="18">
        <f>B6*Assumptions!B9</f>
        <v>639599729.7974337</v>
      </c>
      <c r="C10" s="18">
        <f>C6*Assumptions!B9</f>
        <v>682614537.139237</v>
      </c>
      <c r="D10" s="18">
        <f>D6*Assumptions!B9</f>
        <v>724916918.1011186</v>
      </c>
      <c r="E10" s="18">
        <f>E6*Assumptions!B9</f>
        <v>766012112.6572807</v>
      </c>
      <c r="F10" s="18">
        <f>F6*Assumptions!B9</f>
        <v>805391214.4163225</v>
      </c>
      <c r="G10" s="18">
        <f>G6*Assumptions!B9</f>
        <v>842540970.5739722</v>
      </c>
      <c r="H10" s="18">
        <f>H6*Assumptions!B9</f>
        <v>876954355.7188721</v>
      </c>
      <c r="I10" s="18">
        <f>I6*Assumptions!B9</f>
        <v>908141636.4562553</v>
      </c>
      <c r="J10" s="18">
        <f>J6*Assumptions!B9</f>
        <v>935641606.6333972</v>
      </c>
      <c r="K10" s="18">
        <f>K6*Assumptions!B9</f>
        <v>959032646.799232</v>
      </c>
    </row>
    <row r="11" spans="1:11" x14ac:dyDescent="0.25">
      <c r="A11" t="s">
        <v>54</v>
      </c>
      <c r="B11" s="18">
        <f>-B6*B19</f>
        <v>-446323950.0778165</v>
      </c>
      <c r="C11" s="18">
        <f>-C6*C19</f>
        <v>-530206172.3767445</v>
      </c>
      <c r="D11" s="18">
        <f>-D6*D19</f>
        <v>-620267489.5450308</v>
      </c>
      <c r="E11" s="18">
        <f>-E6*E19</f>
        <v>-715876868.8034027</v>
      </c>
      <c r="F11" s="18">
        <f>-F6*F19</f>
        <v>-816232772.7290504</v>
      </c>
      <c r="G11" s="18">
        <f>-G6*G19</f>
        <v>-920368282.9382293</v>
      </c>
      <c r="H11" s="18">
        <f>-H6*H19</f>
        <v>-1027161770.1088023</v>
      </c>
      <c r="I11" s="18">
        <f>-I6*I19</f>
        <v>-1135353183.952002</v>
      </c>
      <c r="J11" s="18">
        <f>-J6*J19</f>
        <v>-1243565808.64881</v>
      </c>
      <c r="K11" s="18">
        <f>-K6*K19</f>
        <v>-1350333090.296282</v>
      </c>
    </row>
    <row r="12" spans="1:11" x14ac:dyDescent="0.25">
      <c r="A12" t="s">
        <v>55</v>
      </c>
      <c r="B12" s="18">
        <f>-(B6-Assumptions!B29)*Assumptions!B11</f>
        <v>-113465298.32550706</v>
      </c>
      <c r="C12" s="18">
        <f>-(C6-B6)*Assumptions!B11</f>
        <v>-109818682.11586055</v>
      </c>
      <c r="D12" s="18">
        <f>-(D6-C6)*Assumptions!B11</f>
        <v>-107999826.447721</v>
      </c>
      <c r="E12" s="18">
        <f>-(E6-D6)*Assumptions!B11</f>
        <v>-104917826.82161865</v>
      </c>
      <c r="F12" s="18">
        <f>-(F6-E6)*Assumptions!B11</f>
        <v>-100536566.94822802</v>
      </c>
      <c r="G12" s="18">
        <f>-(G6-F6)*Assumptions!B11</f>
        <v>-94844950.24562968</v>
      </c>
      <c r="H12" s="18">
        <f>-(H6-G6)*Assumptions!B11</f>
        <v>-87858875.51995711</v>
      </c>
      <c r="I12" s="18">
        <f>-(I6-H6)*Assumptions!B11</f>
        <v>-79622490.04491788</v>
      </c>
      <c r="J12" s="18">
        <f>-(J6-I6)*Assumptions!B11</f>
        <v>-70208625.11557135</v>
      </c>
      <c r="K12" s="18">
        <f>-(K6-J6)*Assumptions!B11</f>
        <v>-59718347.31047865</v>
      </c>
    </row>
    <row r="13" spans="1:11" x14ac:dyDescent="0.25">
      <c r="A13" s="19" t="s">
        <v>56</v>
      </c>
      <c r="B13" s="20">
        <f>B9+B10+B11+B12</f>
        <v>967524383.7502753</v>
      </c>
      <c r="C13" s="20">
        <f>C9+C10+C11+C12</f>
        <v>990004739.8118902</v>
      </c>
      <c r="D13" s="20">
        <f>D9+D10+D11+D12</f>
        <v>1002777022.5426371</v>
      </c>
      <c r="E13" s="20">
        <f>E9+E10+E11+E12</f>
        <v>1008381721.3612281</v>
      </c>
      <c r="F13" s="20">
        <f>F9+F10+F11+F12</f>
        <v>1006441261.7161411</v>
      </c>
      <c r="G13" s="20">
        <f>G9+G10+G11+G12</f>
        <v>996708051.4187771</v>
      </c>
      <c r="H13" s="20">
        <f>H9+H10+H11+H12</f>
        <v>979077084.3532453</v>
      </c>
      <c r="I13" s="20">
        <f>I9+I10+I11+I12</f>
        <v>953594818.8724182</v>
      </c>
      <c r="J13" s="20">
        <f>J9+J10+J11+J12</f>
        <v>920463815.6386691</v>
      </c>
      <c r="K13" s="20">
        <f>K9+K10+K11+K12</f>
        <v>880042768.0313656</v>
      </c>
    </row>
    <row r="14" spans="1:11" x14ac:dyDescent="0.25">
      <c r="A14" t="s">
        <v>57</v>
      </c>
      <c r="B14" s="21">
        <f>1/(1+Assumptions!$B$26)^(1-0.5*Assumptions!$B$32)</f>
        <v>0.9600126306928366</v>
      </c>
      <c r="C14" s="21">
        <f>1/(1+Assumptions!$B$26)^(2-0.5*Assumptions!$B$32)</f>
        <v>0.8847709217990155</v>
      </c>
      <c r="D14" s="21">
        <f>1/(1+Assumptions!$B$26)^(3-0.5*Assumptions!$B$32)</f>
        <v>0.8154263381890325</v>
      </c>
      <c r="E14" s="21">
        <f>1/(1+Assumptions!$B$26)^(4-0.5*Assumptions!$B$32)</f>
        <v>0.7515166882523492</v>
      </c>
      <c r="F14" s="21">
        <f>1/(1+Assumptions!$B$26)^(5-0.5*Assumptions!$B$32)</f>
        <v>0.6926160049920435</v>
      </c>
      <c r="G14" s="21">
        <f>1/(1+Assumptions!$B$26)^(6-0.5*Assumptions!$B$32)</f>
        <v>0.6383317068935878</v>
      </c>
      <c r="H14" s="21">
        <f>1/(1+Assumptions!$B$26)^(7-0.5*Assumptions!$B$32)</f>
        <v>0.5883019813126642</v>
      </c>
      <c r="I14" s="21">
        <f>1/(1+Assumptions!$B$26)^(8-0.5*Assumptions!$B$32)</f>
        <v>0.5421933729419182</v>
      </c>
      <c r="J14" s="21">
        <f>1/(1+Assumptions!$B$26)^(9-0.5*Assumptions!$B$32)</f>
        <v>0.4996985612834374</v>
      </c>
      <c r="K14" s="21">
        <f>1/(1+Assumptions!$B$26)^(10-0.5*Assumptions!$B$32)</f>
        <v>0.4605343123134888</v>
      </c>
    </row>
    <row r="15" spans="1:11" x14ac:dyDescent="0.25">
      <c r="A15" s="19" t="s">
        <v>58</v>
      </c>
      <c r="B15" s="20">
        <f>B13*B14</f>
        <v>928835628.9035673</v>
      </c>
      <c r="C15" s="20">
        <f>C13*C14</f>
        <v>875927406.2287606</v>
      </c>
      <c r="D15" s="20">
        <f>D13*D14</f>
        <v>817690795.5120435</v>
      </c>
      <c r="E15" s="20">
        <f>E13*E14</f>
        <v>757815691.7315933</v>
      </c>
      <c r="F15" s="20">
        <f>F13*F14</f>
        <v>697077325.9489853</v>
      </c>
      <c r="G15" s="20">
        <f>G13*G14</f>
        <v>636230351.7367299</v>
      </c>
      <c r="H15" s="20">
        <f>H13*H14</f>
        <v>575992988.5828407</v>
      </c>
      <c r="I15" s="20">
        <f>I13*I14</f>
        <v>517032791.2643739</v>
      </c>
      <c r="J15" s="20">
        <f>J13*J14</f>
        <v>459954444.38810617</v>
      </c>
      <c r="K15" s="20">
        <f>K13*K14</f>
        <v>405289890.9817841</v>
      </c>
    </row>
    <row r="17" spans="1:2" x14ac:dyDescent="0.25">
      <c r="A17" s="22" t="s">
        <v>59</v>
      </c>
      <c r="B17" s="23">
        <f>SUM(B15:K15)</f>
        <v>6671847315.278785</v>
      </c>
    </row>
    <row r="19" spans="1:11" x14ac:dyDescent="0.25">
      <c r="A19" t="s">
        <v>7</v>
      </c>
      <c r="B19" s="9">
        <f>Assumptions!$B$10+($B$20-Assumptions!$B$10)*0/9</f>
        <v>0.06996592581683139</v>
      </c>
      <c r="C19" s="9">
        <f>Assumptions!$B$10+($B$20-Assumptions!$B$10)*1/9</f>
        <v>0.07787784244947782</v>
      </c>
      <c r="D19" s="9">
        <f>Assumptions!$B$10+($B$20-Assumptions!$B$10)*2/9</f>
        <v>0.08578975908212423</v>
      </c>
      <c r="E19" s="9">
        <f>Assumptions!$B$10+($B$20-Assumptions!$B$10)*3/9</f>
        <v>0.09370167571477064</v>
      </c>
      <c r="F19" s="9">
        <f>Assumptions!$B$10+($B$20-Assumptions!$B$10)*4/9</f>
        <v>0.10161359234741707</v>
      </c>
      <c r="G19" s="9">
        <f>Assumptions!$B$10+($B$20-Assumptions!$B$10)*5/9</f>
        <v>0.1095255089800635</v>
      </c>
      <c r="H19" s="9">
        <f>Assumptions!$B$10+($B$20-Assumptions!$B$10)*6/9</f>
        <v>0.11743742561270991</v>
      </c>
      <c r="I19" s="9">
        <f>Assumptions!$B$10+($B$20-Assumptions!$B$10)*7/9</f>
        <v>0.12534934224535632</v>
      </c>
      <c r="J19" s="9">
        <f>Assumptions!$B$10+($B$20-Assumptions!$B$10)*8/9</f>
        <v>0.13326125887800275</v>
      </c>
      <c r="K19" s="9">
        <f>Assumptions!$B$10+($B$20-Assumptions!$B$10)*9/9</f>
        <v>0.14117317551064917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0.14117317551064917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880042768.0313656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1331061558.8388944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0.29397621837895116</v>
      </c>
    </row>
    <row r="7" spans="1:2" x14ac:dyDescent="0.25">
      <c r="A7" t="s">
        <v>66</v>
      </c>
      <c r="B7" s="18">
        <f>-MAX(B5,0)*B6</f>
        <v>-391300443.49705</v>
      </c>
    </row>
    <row r="8" spans="1:2" x14ac:dyDescent="0.25">
      <c r="A8" t="s">
        <v>67</v>
      </c>
      <c r="B8" s="18">
        <f>IF(OR(Assumptions!$B$33=0,Assumptions!B12&lt;=0),B5,MAX(B5+B7,0))</f>
        <v>939761115.3418443</v>
      </c>
    </row>
    <row r="9" spans="1:2" x14ac:dyDescent="0.25">
      <c r="A9" t="s">
        <v>68</v>
      </c>
      <c r="B9" s="18">
        <f>B8*(1+Assumptions!B12)/(Assumptions!B26-Assumptions!B12)</f>
        <v>16043318183.379044</v>
      </c>
    </row>
    <row r="10" spans="1:2" x14ac:dyDescent="0.25">
      <c r="A10" t="s">
        <v>69</v>
      </c>
      <c r="B10" s="18">
        <f>B9/(1+Assumptions!B26)^(10-0.5*Assumptions!B32)</f>
        <v>7388498506.808958</v>
      </c>
    </row>
    <row r="11" spans="1:2" x14ac:dyDescent="0.25">
      <c r="A11" t="s">
        <v>70</v>
      </c>
      <c r="B11" s="18">
        <f>Forecast!B17+B10</f>
        <v>14060345822.087742</v>
      </c>
    </row>
    <row r="12" spans="1:2" x14ac:dyDescent="0.25">
      <c r="A12" t="s">
        <v>71</v>
      </c>
      <c r="B12" s="18">
        <f>-Assumptions!B30</f>
        <v>-1647600000</v>
      </c>
    </row>
    <row r="13" spans="1:2" x14ac:dyDescent="0.25">
      <c r="A13" t="s">
        <v>72</v>
      </c>
      <c r="B13" s="18">
        <f>B11+B12</f>
        <v>12412745822.087742</v>
      </c>
    </row>
    <row r="14" spans="1:2" x14ac:dyDescent="0.25">
      <c r="A14" s="19" t="s">
        <v>73</v>
      </c>
      <c r="B14" s="24">
        <f>B13/Assumptions!B31</f>
        <v>125.76236901811289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2643920695.9623895</v>
      </c>
    </row>
    <row r="18" spans="1:2" x14ac:dyDescent="0.25">
      <c r="A18" t="s">
        <v>68</v>
      </c>
      <c r="B18" s="18">
        <f>B17*Assumptions!B13</f>
        <v>39502448663.97461</v>
      </c>
    </row>
    <row r="19" spans="1:2" x14ac:dyDescent="0.25">
      <c r="A19" t="s">
        <v>69</v>
      </c>
      <c r="B19" s="18">
        <f>B18/(1+Assumptions!B26)^(10-0.5*Assumptions!B32)</f>
        <v>18192233030.16244</v>
      </c>
    </row>
    <row r="20" spans="1:2" x14ac:dyDescent="0.25">
      <c r="A20" t="s">
        <v>70</v>
      </c>
      <c r="B20" s="18">
        <f>Forecast!B17+B19</f>
        <v>24864080345.441227</v>
      </c>
    </row>
    <row r="21" spans="1:2" x14ac:dyDescent="0.25">
      <c r="A21" t="s">
        <v>71</v>
      </c>
      <c r="B21" s="18">
        <f>-Assumptions!B30</f>
        <v>-1647600000</v>
      </c>
    </row>
    <row r="22" spans="1:2" x14ac:dyDescent="0.25">
      <c r="A22" t="s">
        <v>72</v>
      </c>
      <c r="B22" s="18">
        <f>B20+B21</f>
        <v>23216480345.441227</v>
      </c>
    </row>
    <row r="23" spans="1:2" x14ac:dyDescent="0.25">
      <c r="A23" s="19" t="s">
        <v>73</v>
      </c>
      <c r="B23" s="25">
        <f>B22/Assumptions!B31</f>
        <v>235.2226985353721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227.12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125.76236901811289</v>
      </c>
    </row>
    <row r="29" spans="1:2" x14ac:dyDescent="0.25">
      <c r="A29" s="19" t="s">
        <v>81</v>
      </c>
      <c r="B29" s="11">
        <f>B28/B26-1</f>
        <v>-0.44627347209355017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0.065041</v>
      </c>
      <c r="B5" s="31">
        <v>182.87886492681386</v>
      </c>
      <c r="C5" s="31">
        <v>184.0490048989442</v>
      </c>
      <c r="D5" s="31">
        <v>186.02403857331757</v>
      </c>
      <c r="E5" s="31">
        <v>189.14851677706935</v>
      </c>
      <c r="F5" s="31">
        <v>193.99637739311535</v>
      </c>
    </row>
    <row r="6" spans="1:6" x14ac:dyDescent="0.25">
      <c r="A6" s="30">
        <v>0.075041</v>
      </c>
      <c r="B6" s="31">
        <v>150.71574380750562</v>
      </c>
      <c r="C6" s="31">
        <v>149.42255454612567</v>
      </c>
      <c r="D6" s="31">
        <v>148.25854059272947</v>
      </c>
      <c r="E6" s="31">
        <v>147.26672118800346</v>
      </c>
      <c r="F6" s="31">
        <v>146.51160316819184</v>
      </c>
    </row>
    <row r="7" spans="1:6" x14ac:dyDescent="0.25">
      <c r="A7" s="30">
        <v>0.085041</v>
      </c>
      <c r="B7" s="31">
        <v>129.20087388149912</v>
      </c>
      <c r="C7" s="31">
        <v>127.48153123818106</v>
      </c>
      <c r="D7" s="32">
        <v>125.76218859486295</v>
      </c>
      <c r="E7" s="31">
        <v>124.04284595154489</v>
      </c>
      <c r="F7" s="31">
        <v>122.32350330822679</v>
      </c>
    </row>
    <row r="8" spans="1:6" x14ac:dyDescent="0.25">
      <c r="A8" s="30">
        <v>0.095041</v>
      </c>
      <c r="B8" s="31">
        <v>113.6637199751701</v>
      </c>
      <c r="C8" s="31">
        <v>112.20757522126935</v>
      </c>
      <c r="D8" s="31">
        <v>110.75143046736859</v>
      </c>
      <c r="E8" s="31">
        <v>109.29528571346789</v>
      </c>
      <c r="F8" s="31">
        <v>107.83914095956716</v>
      </c>
    </row>
    <row r="9" spans="1:6" x14ac:dyDescent="0.25">
      <c r="A9" s="30">
        <v>0.105041</v>
      </c>
      <c r="B9" s="31">
        <v>101.11900265768347</v>
      </c>
      <c r="C9" s="31">
        <v>99.87091689407747</v>
      </c>
      <c r="D9" s="31">
        <v>98.62283113047147</v>
      </c>
      <c r="E9" s="31">
        <v>97.3747453668655</v>
      </c>
      <c r="F9" s="31">
        <v>96.12665960325948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5935900000</v>
      </c>
      <c r="C5" s="18">
        <v>5459500000</v>
      </c>
      <c r="D5" s="18">
        <v>5138700000</v>
      </c>
      <c r="E5" s="18">
        <v>4536266000</v>
      </c>
      <c r="F5" s="6" t="s">
        <v>91</v>
      </c>
    </row>
    <row r="6" spans="1:6" x14ac:dyDescent="0.25">
      <c r="A6" t="s">
        <v>51</v>
      </c>
      <c r="B6" s="18">
        <v>1105900000</v>
      </c>
      <c r="C6" s="18">
        <v>960900000</v>
      </c>
      <c r="D6" s="18">
        <v>862200000</v>
      </c>
      <c r="E6" s="18">
        <v>791586000</v>
      </c>
      <c r="F6" s="6" t="s">
        <v>92</v>
      </c>
    </row>
    <row r="7" spans="1:6" x14ac:dyDescent="0.25">
      <c r="A7" t="s">
        <v>93</v>
      </c>
      <c r="B7" s="18">
        <v>486500000</v>
      </c>
      <c r="C7" s="18">
        <v>476200000</v>
      </c>
      <c r="D7" s="18">
        <v>565200000</v>
      </c>
      <c r="E7" s="18">
        <v>552897000</v>
      </c>
      <c r="F7" s="6" t="s">
        <v>94</v>
      </c>
    </row>
    <row r="8" spans="1:6" x14ac:dyDescent="0.25">
      <c r="A8" t="s">
        <v>95</v>
      </c>
      <c r="B8" s="18">
        <v>369000000</v>
      </c>
      <c r="C8" s="18">
        <v>370100000</v>
      </c>
      <c r="D8" s="18">
        <v>360300000</v>
      </c>
      <c r="E8" s="18">
        <v>361969000</v>
      </c>
      <c r="F8" s="6" t="s">
        <v>96</v>
      </c>
    </row>
    <row r="9" spans="1:6" x14ac:dyDescent="0.25">
      <c r="A9" t="s">
        <v>97</v>
      </c>
      <c r="B9" s="18">
        <v>-27100000</v>
      </c>
      <c r="C9" s="18">
        <v>-66500000</v>
      </c>
      <c r="D9" s="18">
        <v>146200000</v>
      </c>
      <c r="E9" s="18">
        <v>250023000</v>
      </c>
      <c r="F9" s="6" t="s">
        <v>98</v>
      </c>
    </row>
    <row r="10" spans="1:6" x14ac:dyDescent="0.25">
      <c r="A10" t="s">
        <v>99</v>
      </c>
      <c r="B10" s="18">
        <v>2087200000</v>
      </c>
      <c r="C10" s="18">
        <v>2202500000</v>
      </c>
      <c r="D10" s="18">
        <v>3383167000</v>
      </c>
      <c r="E10" s="18">
        <v>3248277000</v>
      </c>
      <c r="F10" s="6" t="s">
        <v>100</v>
      </c>
    </row>
    <row r="11" spans="1:6" x14ac:dyDescent="0.25">
      <c r="A11" t="s">
        <v>101</v>
      </c>
      <c r="B11" s="18">
        <v>439600000</v>
      </c>
      <c r="C11" s="18">
        <v>171700000</v>
      </c>
      <c r="D11" s="18">
        <v>207020000</v>
      </c>
      <c r="E11" s="18">
        <v>208357000</v>
      </c>
      <c r="F11" s="6" t="s">
        <v>102</v>
      </c>
    </row>
    <row r="12" spans="1:6" x14ac:dyDescent="0.25">
      <c r="A12" t="s">
        <v>34</v>
      </c>
      <c r="B12" s="34">
        <v>98700000</v>
      </c>
      <c r="C12" s="34">
        <v>99069000</v>
      </c>
      <c r="D12" s="34">
        <v>99359000</v>
      </c>
      <c r="E12" s="34">
        <v>100246000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