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<sst xmlns="http://schemas.openxmlformats.org/spreadsheetml/2006/main" count="116" uniqueCount="103">
  <si>
    <t>Stellantis N.V. (STLAP.PA)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</si>
  <si>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</si>
  <si>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</si>
  <si>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</si>
  <si>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</si>
  <si>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</si>
  <si>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</si>
  <si>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</si>
  <si>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</si>
  <si>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</si>
  <si>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</si>
  <si>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</si>
  <si>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</si>
  <si>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</si>
  <si>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</si>
  <si>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</si>
  <si>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</si>
  <si>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</si>
  <si>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</si>
  <si>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</si>
  <si>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</si>
  <si>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</si>
  <si>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</si>
  <si>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</si>
  <si>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</si>
  <si>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</si>
  <si>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</si>
  <si>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</si>
  <si>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</si>
  <si>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</si>
  <si>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</si>
  <si>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</si>
  <si>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</si>
  <si>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</si>
  <si>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</si>
  <si>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</si>
  <si>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</si>
  <si>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</si>
  <si>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</si>
  <si>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</si>
  <si>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</si>
  <si>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</si>
  <si>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</si>
  <si>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</si>
  <si>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</si>
  <si>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</si>
  <si>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</si>
  <si>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</si>
  <si>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</si>
  <si>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</si>
  <si>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</si>
  <si>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</si>
  <si>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</si>
  <si>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</si>
  <si>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</si>
  <si>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</si>
  <si>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</si>
  <si>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</si>
  <si>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</si>
  <si>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</si>
  <si>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</si>
  <si>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</si>
  <si>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</si>
  <si>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</si>
  <si>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</si>
  <si>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</si>
  <si>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</si>
  <si>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</si>
  <si>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</si>
  <si>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</si>
  <si>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</si>
  <si>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</si>
  <si>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</si>
  <si>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</si>
  <si>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</si>
  <si>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</si>
  <si>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</si>
  <si>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</si>
  <si>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</si>
  <si>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</si>
  <si>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</si>
  <si>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</si>
  <si>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</si>
  <si>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</si>
  <si>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</si>
  <si>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</si>
  <si>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</si>
  <si>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</si>
  <si>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</si>
  <si>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</si>
  <si>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</si>
  <si>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</si>
  <si>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</si>
  <si>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</si>
  <si>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</si>
  <si>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</si>
  <si>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</si>
  <si>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</si>
  <si>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</si>
  <si>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5.9% of revenue against depreciation of 4.2%.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</si>
  <si>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EUR assumption - no free live source available for this market.</t>
  </si>
  <si>
    <t>No usable EV/EBITDA (EBITDA is not positive), so the exit multiple falls back to 8x.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</si>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</sst>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-0.05096693860387458</v>
      </c>
    </row>
    <row r="7" spans="1:2" x14ac:dyDescent="0.25">
      <c r="A7" t="s">
        <v>5</v>
      </c>
      <c r="B7" s="6">
        <v>0.032120956072942734</v>
      </c>
    </row>
    <row r="8" spans="1:2" x14ac:dyDescent="0.25">
      <c r="A8" t="s">
        <v>6</v>
      </c>
      <c r="B8" s="6">
        <v>0.1545428619972457</v>
      </c>
    </row>
    <row r="9" spans="1:2" x14ac:dyDescent="0.25">
      <c r="A9" t="s">
        <v>7</v>
      </c>
      <c r="B9" s="6">
        <v>0.04230294733692526</v>
      </c>
    </row>
    <row r="10" spans="1:2" x14ac:dyDescent="0.25">
      <c r="A10" t="s">
        <v>8</v>
      </c>
      <c r="B10" s="6">
        <v>0.05850563010533766</v>
      </c>
    </row>
    <row r="11" spans="1:2" x14ac:dyDescent="0.25">
      <c r="A11" t="s">
        <v>9</v>
      </c>
      <c r="B11" s="6">
        <v>0.3195845697329377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0.1782783799689472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0.98995</v>
      </c>
      <c r="C19" s="8" t="s">
        <v>19</v>
      </c>
    </row>
    <row r="20" spans="1:2" x14ac:dyDescent="0.25">
      <c r="A20" t="s">
        <v>20</v>
      </c>
      <c r="B20" s="10">
        <f>B17+B19*B18</f>
        <v>0.091397</v>
      </c>
    </row>
    <row r="21" spans="1:3" x14ac:dyDescent="0.25">
      <c r="A21" t="s">
        <v>21</v>
      </c>
      <c r="B21" s="6">
        <v>0.03549186043715584</v>
      </c>
      <c r="C21" s="8" t="s">
        <v>22</v>
      </c>
    </row>
    <row r="22" spans="1:2" x14ac:dyDescent="0.25">
      <c r="A22" t="s">
        <v>23</v>
      </c>
      <c r="B22" s="11">
        <v>15817109504</v>
      </c>
    </row>
    <row r="23" spans="1:2" x14ac:dyDescent="0.25">
      <c r="A23" t="s">
        <v>24</v>
      </c>
      <c r="B23" s="11">
        <v>45947000000</v>
      </c>
    </row>
    <row r="24" spans="1:2" x14ac:dyDescent="0.25">
      <c r="A24" t="s">
        <v>25</v>
      </c>
      <c r="B24" s="10">
        <f>B22/(B22+B23)</f>
        <v>0.2560890075323703</v>
      </c>
    </row>
    <row r="25" spans="1:2" x14ac:dyDescent="0.25">
      <c r="A25" t="s">
        <v>26</v>
      </c>
      <c r="B25" s="10">
        <f>1-B24</f>
        <v>0.7439109924676297</v>
      </c>
    </row>
    <row r="26" spans="1:2" x14ac:dyDescent="0.25">
      <c r="A26" t="s">
        <v>27</v>
      </c>
      <c r="B26" s="12">
        <f>B24*B20+B25*B21*(1-B8)</f>
        <v>0.04572819016626051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153508000000</v>
      </c>
      <c r="C29" s="8" t="s">
        <v>30</v>
      </c>
    </row>
    <row r="30" spans="1:2" x14ac:dyDescent="0.25">
      <c r="A30" t="s">
        <v>31</v>
      </c>
      <c r="B30" s="11">
        <v>14624000000</v>
      </c>
    </row>
    <row r="31" spans="1:2" x14ac:dyDescent="0.25">
      <c r="A31" t="s">
        <v>32</v>
      </c>
      <c r="B31" s="13">
        <v>2886684000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-0.05096693860387458</v>
      </c>
      <c r="C5" s="10">
        <f>Assumptions!B6</f>
        <v>-0.05096693860387458</v>
      </c>
      <c r="D5" s="10">
        <f>Assumptions!B6</f>
        <v>-0.05096693860387458</v>
      </c>
      <c r="E5" s="10">
        <f>Assumptions!B6</f>
        <v>-0.05096693860387458</v>
      </c>
      <c r="F5" s="10">
        <f>Assumptions!B6</f>
        <v>-0.05096693860387458</v>
      </c>
    </row>
    <row r="6" spans="1:6" x14ac:dyDescent="0.25">
      <c r="A6" t="s">
        <v>43</v>
      </c>
      <c r="B6" s="18">
        <f>Assumptions!B29*(1+B5)</f>
        <v>145684167188.79642</v>
      </c>
      <c r="C6" s="18">
        <f>B6*(1+C5)</f>
        <v>138259091184.12842</v>
      </c>
      <c r="D6" s="18">
        <f>C6*(1+D5)</f>
        <v>131212448572.31944</v>
      </c>
      <c r="E6" s="18">
        <f>D6*(1+E5)</f>
        <v>124524951761.86998</v>
      </c>
      <c r="F6" s="18">
        <f>E6*(1+F5)</f>
        <v>118178296190.77231</v>
      </c>
    </row>
    <row r="7" spans="1:6" x14ac:dyDescent="0.25">
      <c r="A7" t="s">
        <v>5</v>
      </c>
      <c r="B7" s="10">
        <f>Assumptions!B7</f>
        <v>0.032120956072942734</v>
      </c>
      <c r="C7" s="10">
        <f>Assumptions!B7</f>
        <v>0.032120956072942734</v>
      </c>
      <c r="D7" s="10">
        <f>Assumptions!B7</f>
        <v>0.032120956072942734</v>
      </c>
      <c r="E7" s="10">
        <f>Assumptions!B7</f>
        <v>0.032120956072942734</v>
      </c>
      <c r="F7" s="10">
        <f>Assumptions!B7</f>
        <v>0.032120956072942734</v>
      </c>
    </row>
    <row r="8" spans="1:6" x14ac:dyDescent="0.25">
      <c r="A8" t="s">
        <v>44</v>
      </c>
      <c r="B8" s="18">
        <f>B6*B7</f>
        <v>4679514734.794575</v>
      </c>
      <c r="C8" s="18">
        <f>C6*C7</f>
        <v>4441014194.610373</v>
      </c>
      <c r="D8" s="18">
        <f>D6*D7</f>
        <v>4214669296.8147306</v>
      </c>
      <c r="E8" s="18">
        <f>E6*E7</f>
        <v>3999860505.5283384</v>
      </c>
      <c r="F8" s="18">
        <f>F6*F7</f>
        <v>3795999860.719013</v>
      </c>
    </row>
    <row r="9" spans="1:6" x14ac:dyDescent="0.25">
      <c r="A9" t="s">
        <v>45</v>
      </c>
      <c r="B9" s="18">
        <f>B8*(1-Assumptions!B8)</f>
        <v>3956329134.921139</v>
      </c>
      <c r="C9" s="18">
        <f>C8*(1-Assumptions!B8)</f>
        <v>3754687150.804892</v>
      </c>
      <c r="D9" s="18">
        <f>D8*(1-Assumptions!B8)</f>
        <v>3563322241.3130627</v>
      </c>
      <c r="E9" s="18">
        <f>E8*(1-Assumptions!B8)</f>
        <v>3381710615.414239</v>
      </c>
      <c r="F9" s="18">
        <f>F8*(1-Assumptions!B8)</f>
        <v>3209355178.1023507</v>
      </c>
    </row>
    <row r="10" spans="1:6" x14ac:dyDescent="0.25">
      <c r="A10" t="s">
        <v>46</v>
      </c>
      <c r="B10" s="18">
        <f>B6*Assumptions!B9</f>
        <v>6162869652.411469</v>
      </c>
      <c r="C10" s="18">
        <f>C6*Assumptions!B9</f>
        <v>5848767053.213332</v>
      </c>
      <c r="D10" s="18">
        <f>D6*Assumptions!B9</f>
        <v>5550673301.903843</v>
      </c>
      <c r="E10" s="18">
        <f>E6*Assumptions!B9</f>
        <v>5267772476.515544</v>
      </c>
      <c r="F10" s="18">
        <f>F6*Assumptions!B9</f>
        <v>4999290240.125796</v>
      </c>
    </row>
    <row r="11" spans="1:6" x14ac:dyDescent="0.25">
      <c r="A11" t="s">
        <v>47</v>
      </c>
      <c r="B11" s="18">
        <f>-B6*Assumptions!B10</f>
        <v>-8523343997.751892</v>
      </c>
      <c r="C11" s="18">
        <f>-C6*Assumptions!B10</f>
        <v>-8088935247.518768</v>
      </c>
      <c r="D11" s="18">
        <f>-D6*Assumptions!B10</f>
        <v>-7676666981.387762</v>
      </c>
      <c r="E11" s="18">
        <f>-E6*Assumptions!B10</f>
        <v>-7285410766.66498</v>
      </c>
      <c r="F11" s="18">
        <f>-F6*Assumptions!B10</f>
        <v>-6914095683.416359</v>
      </c>
    </row>
    <row r="12" spans="1:6" x14ac:dyDescent="0.25">
      <c r="A12" t="s">
        <v>48</v>
      </c>
      <c r="B12" s="18">
        <f>-(B6-Assumptions!B29)*Assumptions!B11</f>
        <v>2500376242.6309376</v>
      </c>
      <c r="C12" s="18">
        <f>-(C6-B6)*Assumptions!B11</f>
        <v>2372939720.1861825</v>
      </c>
      <c r="D12" s="18">
        <f>-(D6-C6)*Assumptions!B11</f>
        <v>2251998247.1567554</v>
      </c>
      <c r="E12" s="18">
        <f>-(E6-D6)*Assumptions!B11</f>
        <v>2137220790.7578847</v>
      </c>
      <c r="F12" s="18">
        <f>-(F6-E6)*Assumptions!B11</f>
        <v>2028293189.9324014</v>
      </c>
    </row>
    <row r="13" spans="1:6" x14ac:dyDescent="0.25">
      <c r="A13" s="19" t="s">
        <v>49</v>
      </c>
      <c r="B13" s="20">
        <f>B9+B10+B11+B12</f>
        <v>4096231032.2116528</v>
      </c>
      <c r="C13" s="20">
        <f>C9+C10+C11+C12</f>
        <v>3887458676.685639</v>
      </c>
      <c r="D13" s="20">
        <f>D9+D10+D11+D12</f>
        <v>3689326808.985899</v>
      </c>
      <c r="E13" s="20">
        <f>E9+E10+E11+E12</f>
        <v>3501293116.022688</v>
      </c>
      <c r="F13" s="20">
        <f>F9+F10+F11+F12</f>
        <v>3322842924.74419</v>
      </c>
    </row>
    <row r="14" spans="1:6" x14ac:dyDescent="0.25">
      <c r="A14" t="s">
        <v>50</v>
      </c>
      <c r="B14" s="21">
        <f>1/(1+Assumptions!$B$26)^(1-0.5*Assumptions!$B$32)</f>
        <v>0.9778913221007199</v>
      </c>
      <c r="C14" s="21">
        <f>1/(1+Assumptions!$B$26)^(2-0.5*Assumptions!$B$32)</f>
        <v>0.9351295406364103</v>
      </c>
      <c r="D14" s="21">
        <f>1/(1+Assumptions!$B$26)^(3-0.5*Assumptions!$B$32)</f>
        <v>0.8942376703909397</v>
      </c>
      <c r="E14" s="21">
        <f>1/(1+Assumptions!$B$26)^(4-0.5*Assumptions!$B$32)</f>
        <v>0.855133942835341</v>
      </c>
      <c r="F14" s="21">
        <f>1/(1+Assumptions!$B$26)^(5-0.5*Assumptions!$B$32)</f>
        <v>0.8177401650608492</v>
      </c>
    </row>
    <row r="15" spans="1:6" x14ac:dyDescent="0.25">
      <c r="A15" s="19" t="s">
        <v>51</v>
      </c>
      <c r="B15" s="20">
        <f>B13*B14</f>
        <v>4005668779.71945</v>
      </c>
      <c r="C15" s="20">
        <f>C13*C14</f>
        <v>3635277446.572069</v>
      </c>
      <c r="D15" s="20">
        <f>D13*D14</f>
        <v>3299135010.9783897</v>
      </c>
      <c r="E15" s="20">
        <f>E13*E14</f>
        <v>2994074587.3267183</v>
      </c>
      <c r="F15" s="20">
        <f>F13*F14</f>
        <v>2717222121.7515893</v>
      </c>
    </row>
    <row r="17" spans="1:2" x14ac:dyDescent="0.25">
      <c r="A17" s="22" t="s">
        <v>52</v>
      </c>
      <c r="B17" s="23">
        <f>SUM(B15:F15)</f>
        <v>16651377946.348215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3322842924.74419</v>
      </c>
    </row>
    <row r="5" spans="1:2" x14ac:dyDescent="0.25">
      <c r="A5" t="s">
        <v>56</v>
      </c>
      <c r="B5" s="18">
        <f>IF(Assumptions!$B$33=0,B4,B4-Forecast!F11-Forecast!F10-Forecast!F12)</f>
        <v>3209355178.1023507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0.14023012776060978</v>
      </c>
    </row>
    <row r="7" spans="1:2" x14ac:dyDescent="0.25">
      <c r="A7" t="s">
        <v>58</v>
      </c>
      <c r="B7" s="18">
        <f>-MAX(Forecast!F9,0)*B6</f>
        <v>-450048286.65446717</v>
      </c>
    </row>
    <row r="8" spans="1:2" x14ac:dyDescent="0.25">
      <c r="A8" t="s">
        <v>59</v>
      </c>
      <c r="B8" s="18">
        <f>IF(OR(Assumptions!$B$33=0,Assumptions!B12&lt;=0),B5,MAX(B5+B7,0))</f>
        <v>2759306891.4478836</v>
      </c>
    </row>
    <row r="9" spans="1:2" x14ac:dyDescent="0.25">
      <c r="A9" t="s">
        <v>60</v>
      </c>
      <c r="B9" s="18">
        <f>B8*(1+Assumptions!B12)/(Assumptions!B26-Assumptions!B12)</f>
        <v>136446527219.6179</v>
      </c>
    </row>
    <row r="10" spans="1:2" x14ac:dyDescent="0.25">
      <c r="A10" t="s">
        <v>61</v>
      </c>
      <c r="B10" s="18">
        <f>B9/(1+Assumptions!B26)^(5-0.5*Assumptions!B32)</f>
        <v>111577805690.55</v>
      </c>
    </row>
    <row r="11" spans="1:2" x14ac:dyDescent="0.25">
      <c r="A11" t="s">
        <v>62</v>
      </c>
      <c r="B11" s="18">
        <f>Forecast!B17+B10</f>
        <v>128229183636.89822</v>
      </c>
    </row>
    <row r="12" spans="1:2" x14ac:dyDescent="0.25">
      <c r="A12" t="s">
        <v>63</v>
      </c>
      <c r="B12" s="18">
        <f>-Assumptions!B30</f>
        <v>-14624000000</v>
      </c>
    </row>
    <row r="13" spans="1:2" x14ac:dyDescent="0.25">
      <c r="A13" t="s">
        <v>64</v>
      </c>
      <c r="B13" s="18">
        <f>B11+B12</f>
        <v>113605183636.89822</v>
      </c>
    </row>
    <row r="14" spans="1:2" x14ac:dyDescent="0.25">
      <c r="A14" s="19" t="s">
        <v>65</v>
      </c>
      <c r="B14" s="24">
        <f>B13/Assumptions!B31</f>
        <v>39.354908135735755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8795290100.84481</v>
      </c>
    </row>
    <row r="18" spans="1:2" x14ac:dyDescent="0.25">
      <c r="A18" t="s">
        <v>60</v>
      </c>
      <c r="B18" s="18">
        <f>B17*Assumptions!B13</f>
        <v>70362320806.75848</v>
      </c>
    </row>
    <row r="19" spans="1:2" x14ac:dyDescent="0.25">
      <c r="A19" t="s">
        <v>61</v>
      </c>
      <c r="B19" s="18">
        <f>B18/(1+Assumptions!B26)^(5-0.5*Assumptions!B32)</f>
        <v>57538095830.58311</v>
      </c>
    </row>
    <row r="20" spans="1:2" x14ac:dyDescent="0.25">
      <c r="A20" t="s">
        <v>62</v>
      </c>
      <c r="B20" s="18">
        <f>Forecast!B17+B19</f>
        <v>74189473776.93132</v>
      </c>
    </row>
    <row r="21" spans="1:2" x14ac:dyDescent="0.25">
      <c r="A21" t="s">
        <v>63</v>
      </c>
      <c r="B21" s="18">
        <f>-Assumptions!B30</f>
        <v>-14624000000</v>
      </c>
    </row>
    <row r="22" spans="1:2" x14ac:dyDescent="0.25">
      <c r="A22" t="s">
        <v>64</v>
      </c>
      <c r="B22" s="18">
        <f>B20+B21</f>
        <v>59565473776.93132</v>
      </c>
    </row>
    <row r="23" spans="1:2" x14ac:dyDescent="0.25">
      <c r="A23" s="19" t="s">
        <v>65</v>
      </c>
      <c r="B23" s="25">
        <f>B22/Assumptions!B31</f>
        <v>20.634566782138716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4.1985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39.354908135735755</v>
      </c>
    </row>
    <row r="29" spans="1:2" x14ac:dyDescent="0.25">
      <c r="A29" s="19" t="s">
        <v>73</v>
      </c>
      <c r="B29" s="12">
        <f>B28/B26-1</f>
        <v>8.373563924195725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0.025728</v>
      </c>
      <c r="B5" s="31">
        <v>86.89850521926999</v>
      </c>
      <c r="C5" s="31">
        <v>157.7483926638282</v>
      </c>
      <c r="D5" s="31">
        <v>1201.428975598277</v>
      </c>
      <c r="E5" s="31" t="s">
        <v>76</v>
      </c>
      <c r="F5" s="31" t="s">
        <v>76</v>
      </c>
    </row>
    <row r="6" spans="1:6" x14ac:dyDescent="0.25">
      <c r="A6" s="30">
        <v>0.035728</v>
      </c>
      <c r="B6" s="31">
        <v>43.40682954617736</v>
      </c>
      <c r="C6" s="31">
        <v>55.49123355104814</v>
      </c>
      <c r="D6" s="31">
        <v>78.81517832852907</v>
      </c>
      <c r="E6" s="31">
        <v>142.81181883482688</v>
      </c>
      <c r="F6" s="31">
        <v>1085.5174681636981</v>
      </c>
    </row>
    <row r="7" spans="1:6" x14ac:dyDescent="0.25">
      <c r="A7" s="30">
        <v>0.045728</v>
      </c>
      <c r="B7" s="31">
        <v>28.206330432295577</v>
      </c>
      <c r="C7" s="31">
        <v>32.70241941161364</v>
      </c>
      <c r="D7" s="32">
        <v>39.355296799218905</v>
      </c>
      <c r="E7" s="31">
        <v>50.22192000382885</v>
      </c>
      <c r="F7" s="31">
        <v>71.19399178971173</v>
      </c>
    </row>
    <row r="8" spans="1:6" x14ac:dyDescent="0.25">
      <c r="A8" s="30">
        <v>0.055728</v>
      </c>
      <c r="B8" s="31">
        <v>20.45852872612496</v>
      </c>
      <c r="C8" s="31">
        <v>22.655011612110105</v>
      </c>
      <c r="D8" s="31">
        <v>25.558359209873093</v>
      </c>
      <c r="E8" s="31">
        <v>29.580689471709807</v>
      </c>
      <c r="F8" s="31">
        <v>35.53176407077279</v>
      </c>
    </row>
    <row r="9" spans="1:6" x14ac:dyDescent="0.25">
      <c r="A9" s="30">
        <v>0.065728</v>
      </c>
      <c r="B9" s="31">
        <v>15.756453230734138</v>
      </c>
      <c r="C9" s="31">
        <v>16.990589894828457</v>
      </c>
      <c r="D9" s="31">
        <v>18.52199683110258</v>
      </c>
      <c r="E9" s="31">
        <v>20.47547962852588</v>
      </c>
      <c r="F9" s="31">
        <v>23.057076360426816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153508000000</v>
      </c>
      <c r="C5" s="18">
        <v>156878000000</v>
      </c>
      <c r="D5" s="18">
        <v>189544000000</v>
      </c>
      <c r="E5" s="18">
        <v>179592000000</v>
      </c>
      <c r="F5" s="8" t="s">
        <v>85</v>
      </c>
    </row>
    <row r="6" spans="1:6" x14ac:dyDescent="0.25">
      <c r="A6" t="s">
        <v>44</v>
      </c>
      <c r="B6" s="18">
        <v>-22231000000</v>
      </c>
      <c r="C6" s="18">
        <v>5435000000</v>
      </c>
      <c r="D6" s="18">
        <v>22984000000</v>
      </c>
      <c r="E6" s="18">
        <v>21084000000</v>
      </c>
      <c r="F6" s="8" t="s">
        <v>86</v>
      </c>
    </row>
    <row r="7" spans="1:6" x14ac:dyDescent="0.25">
      <c r="A7" t="s">
        <v>87</v>
      </c>
      <c r="B7" s="18">
        <v>6981000000</v>
      </c>
      <c r="C7" s="18">
        <v>7226000000</v>
      </c>
      <c r="D7" s="18">
        <v>7549000000</v>
      </c>
      <c r="E7" s="18">
        <v>6797000000</v>
      </c>
      <c r="F7" s="8" t="s">
        <v>88</v>
      </c>
    </row>
    <row r="8" spans="1:6" x14ac:dyDescent="0.25">
      <c r="A8" t="s">
        <v>89</v>
      </c>
      <c r="B8" s="18">
        <v>9142000000</v>
      </c>
      <c r="C8" s="18">
        <v>11060000000</v>
      </c>
      <c r="D8" s="18">
        <v>10193000000</v>
      </c>
      <c r="E8" s="18">
        <v>9014000000</v>
      </c>
      <c r="F8" s="8" t="s">
        <v>90</v>
      </c>
    </row>
    <row r="9" spans="1:6" x14ac:dyDescent="0.25">
      <c r="A9" t="s">
        <v>91</v>
      </c>
      <c r="B9" s="18">
        <v>-1077000000</v>
      </c>
      <c r="C9" s="18">
        <v>9207000000</v>
      </c>
      <c r="D9" s="18">
        <v>9733000000</v>
      </c>
      <c r="E9" s="18">
        <v>3058000000</v>
      </c>
      <c r="F9" s="8" t="s">
        <v>92</v>
      </c>
    </row>
    <row r="10" spans="1:6" x14ac:dyDescent="0.25">
      <c r="A10" t="s">
        <v>93</v>
      </c>
      <c r="B10" s="18">
        <v>45947000000</v>
      </c>
      <c r="C10" s="18">
        <v>37227000000</v>
      </c>
      <c r="D10" s="18">
        <v>29463000000</v>
      </c>
      <c r="E10" s="18">
        <v>27153000000</v>
      </c>
      <c r="F10" s="8" t="s">
        <v>94</v>
      </c>
    </row>
    <row r="11" spans="1:6" x14ac:dyDescent="0.25">
      <c r="A11" t="s">
        <v>95</v>
      </c>
      <c r="B11" s="18">
        <v>31323000000</v>
      </c>
      <c r="C11" s="18">
        <v>37083000000</v>
      </c>
      <c r="D11" s="18">
        <v>48408000000</v>
      </c>
      <c r="E11" s="18">
        <v>50273000000</v>
      </c>
      <c r="F11" s="8" t="s">
        <v>96</v>
      </c>
    </row>
    <row r="12" spans="1:6" x14ac:dyDescent="0.25">
      <c r="A12" t="s">
        <v>32</v>
      </c>
      <c r="B12" s="34">
        <v>2886684000</v>
      </c>
      <c r="C12" s="34">
        <v>2975820000</v>
      </c>
      <c r="D12" s="34">
        <v>3132458000</v>
      </c>
      <c r="E12" s="34">
        <v>3163959000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2026-09-19T01:05:13Z</dcterms:modified>
</cp:coreProperties>
</file>