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<sst xmlns="http://schemas.openxmlformats.org/spreadsheetml/2006/main" count="120" uniqueCount="107">
  <si>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Steel Dynamics, Inc. (STLD)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</si>
  <si>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</si>
  <si>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</si>
  <si>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</si>
  <si>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</si>
  <si>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</si>
  <si>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</si>
  <si>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</si>
  <si>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</si>
  <si>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</si>
  <si>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</si>
  <si>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</si>
  <si>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</si>
  <si>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</si>
  <si>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</si>
  <si>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</si>
  <si>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</si>
  <si>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</si>
  <si>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</si>
  <si>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</si>
  <si>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</si>
  <si>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</si>
  <si>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</si>
  <si>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</si>
  <si>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22.8x interest cover. Book interest / average debt was lower, at 1.9%.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</si>
  <si>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</si>
  <si>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</si>
  <si>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</si>
  <si>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</si>
  <si>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</si>
  <si>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</si>
  <si>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</si>
  <si>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</si>
  <si>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</si>
  <si>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</si>
  <si>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</si>
  <si>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</si>
  <si>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</si>
  <si>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</si>
  <si>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</si>
  <si>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</si>
  <si>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</si>
  <si>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</si>
  <si>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</si>
  <si>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</si>
  <si>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</si>
  <si>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</si>
  <si>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</si>
  <si>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</si>
  <si>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</si>
  <si>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</si>
  <si>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</si>
  <si>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</si>
  <si>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</si>
  <si>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</si>
  <si>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</si>
  <si>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</si>
  <si>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</si>
  <si>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</si>
  <si>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</si>
  <si>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</si>
  <si>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</si>
  <si>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</si>
  <si>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</si>
  <si>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</si>
  <si>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</si>
  <si>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</si>
  <si>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</si>
  <si>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</si>
  <si>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</si>
  <si>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</si>
  <si>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</si>
  <si>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</si>
  <si>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</si>
  <si>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</si>
  <si>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</si>
  <si>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</si>
  <si>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</si>
  <si>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</si>
  <si>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</si>
  <si>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</si>
  <si>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</si>
  <si>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</si>
  <si>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</si>
  <si>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</si>
  <si>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</si>
  <si>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</si>
  <si>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</si>
  <si>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</si>
  <si>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</si>
  <si>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</si>
  <si>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</si>
  <si>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</si>
  <si>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</si>
  <si>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</si>
  <si>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</si>
  <si>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</si>
  <si>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</si>
  <si>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</si>
  <si>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</si>
  <si>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</si>
  <si>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</si>
  <si>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</si>
  <si>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</si>
  <si>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</si>
  <si>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7.2% of revenue against depreciation of 2.5%.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</si>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</sst>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0.3282479207723388</v>
      </c>
    </row>
    <row r="7" spans="1:2" x14ac:dyDescent="0.25">
      <c r="A7" t="s">
        <v>4</v>
      </c>
      <c r="B7" s="5">
        <v>0.15983528305306757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0.024547671310452865</v>
      </c>
    </row>
    <row r="10" spans="1:3" x14ac:dyDescent="0.25">
      <c r="A10" t="s">
        <v>7</v>
      </c>
      <c r="B10" s="5">
        <v>0.07192299322400181</v>
      </c>
      <c r="C10" s="6" t="s">
        <v>8</v>
      </c>
    </row>
    <row r="11" spans="1:2" x14ac:dyDescent="0.25">
      <c r="A11" t="s">
        <v>9</v>
      </c>
      <c r="B11" s="5">
        <v>0.19485913070884403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18.187371811815872</v>
      </c>
    </row>
    <row r="14" spans="1:3" x14ac:dyDescent="0.25">
      <c r="A14" t="s">
        <v>12</v>
      </c>
      <c r="B14" s="5">
        <v>0.1817122542073048</v>
      </c>
      <c r="C14" s="6" t="s">
        <v>13</v>
      </c>
    </row>
    <row r="15" spans="1:3" x14ac:dyDescent="0.25">
      <c r="A15" t="s">
        <v>14</v>
      </c>
      <c r="B15" s="5">
        <v>0.024547671310452865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1.32562</v>
      </c>
      <c r="C19" s="6" t="s">
        <v>21</v>
      </c>
    </row>
    <row r="20" spans="1:2" x14ac:dyDescent="0.25">
      <c r="A20" t="s">
        <v>22</v>
      </c>
      <c r="B20" s="9">
        <f>B17+B19*B18</f>
        <v>0.105013726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35668148224</v>
      </c>
    </row>
    <row r="23" spans="1:2" x14ac:dyDescent="0.25">
      <c r="A23" t="s">
        <v>26</v>
      </c>
      <c r="B23" s="10">
        <v>4211163000</v>
      </c>
    </row>
    <row r="24" spans="1:2" x14ac:dyDescent="0.25">
      <c r="A24" t="s">
        <v>27</v>
      </c>
      <c r="B24" s="9">
        <f>B22/(B22+B23)</f>
        <v>0.8944023136120351</v>
      </c>
    </row>
    <row r="25" spans="1:2" x14ac:dyDescent="0.25">
      <c r="A25" t="s">
        <v>28</v>
      </c>
      <c r="B25" s="9">
        <f>1-B24</f>
        <v>0.10559768638796485</v>
      </c>
    </row>
    <row r="26" spans="1:2" x14ac:dyDescent="0.25">
      <c r="A26" t="s">
        <v>29</v>
      </c>
      <c r="B26" s="11">
        <f>B24*B20+B25*B21*(1-B8)</f>
        <v>0.09834088929414962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18176581000</v>
      </c>
      <c r="C29" s="6" t="s">
        <v>32</v>
      </c>
    </row>
    <row r="30" spans="1:2" x14ac:dyDescent="0.25">
      <c r="A30" t="s">
        <v>33</v>
      </c>
      <c r="B30" s="10">
        <v>3441285000</v>
      </c>
    </row>
    <row r="31" spans="1:2" x14ac:dyDescent="0.25">
      <c r="A31" t="s">
        <v>34</v>
      </c>
      <c r="B31" s="12">
        <v>148404000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0.3282479207723388</v>
      </c>
      <c r="C5" s="5">
        <v>0.03255172212623969</v>
      </c>
      <c r="D5" s="5">
        <v>0.03160775686045973</v>
      </c>
      <c r="E5" s="5">
        <v>0.030663791594679767</v>
      </c>
      <c r="F5" s="5">
        <v>0.029719826328899808</v>
      </c>
      <c r="G5" s="5">
        <v>0.028775861063119846</v>
      </c>
      <c r="H5" s="5">
        <v>0.027831895797339884</v>
      </c>
      <c r="I5" s="5">
        <v>0.026887930531559925</v>
      </c>
      <c r="J5" s="5">
        <v>0.025943965265779963</v>
      </c>
      <c r="K5" s="5">
        <v>0.025</v>
      </c>
    </row>
    <row r="6" spans="1:11" x14ac:dyDescent="0.25">
      <c r="A6" t="s">
        <v>50</v>
      </c>
      <c r="B6" s="18">
        <f>Assumptions!B29*(1+B5)</f>
        <v>24143005920</v>
      </c>
      <c r="C6" s="18">
        <f>B6*(1+C5)</f>
        <v>24928902340</v>
      </c>
      <c r="D6" s="18">
        <f>C6*(1+D5)</f>
        <v>25716849023.96087</v>
      </c>
      <c r="E6" s="18">
        <f>D6*(1+E5)</f>
        <v>26505425122.903446</v>
      </c>
      <c r="F6" s="18">
        <f>E6*(1+F5)</f>
        <v>27293161754.329796</v>
      </c>
      <c r="G6" s="18">
        <f>F6*(1+G5)</f>
        <v>28078545984.94565</v>
      </c>
      <c r="H6" s="18">
        <f>G6*(1+H5)</f>
        <v>28860025150.93947</v>
      </c>
      <c r="I6" s="18">
        <f>H6*(1+I5)</f>
        <v>29636011502.337</v>
      </c>
      <c r="J6" s="18">
        <f>I6*(1+J5)</f>
        <v>30404887155.36989</v>
      </c>
      <c r="K6" s="18">
        <f>J6*(1+K5)</f>
        <v>31165009334.25413</v>
      </c>
    </row>
    <row r="7" spans="1:11" x14ac:dyDescent="0.25">
      <c r="A7" t="s">
        <v>4</v>
      </c>
      <c r="B7" s="9">
        <f>Assumptions!B7</f>
        <v>0.15983528305306757</v>
      </c>
      <c r="C7" s="9">
        <f>Assumptions!B7</f>
        <v>0.15983528305306757</v>
      </c>
      <c r="D7" s="9">
        <f>Assumptions!B7</f>
        <v>0.15983528305306757</v>
      </c>
      <c r="E7" s="9">
        <f>Assumptions!B7</f>
        <v>0.15983528305306757</v>
      </c>
      <c r="F7" s="9">
        <f>Assumptions!B7</f>
        <v>0.15983528305306757</v>
      </c>
      <c r="G7" s="9">
        <f>Assumptions!B7</f>
        <v>0.15983528305306757</v>
      </c>
      <c r="H7" s="9">
        <f>Assumptions!B7</f>
        <v>0.15983528305306757</v>
      </c>
      <c r="I7" s="9">
        <f>Assumptions!B7</f>
        <v>0.15983528305306757</v>
      </c>
      <c r="J7" s="9">
        <f>Assumptions!B7</f>
        <v>0.15983528305306757</v>
      </c>
      <c r="K7" s="9">
        <f>Assumptions!B7</f>
        <v>0.15983528305306757</v>
      </c>
    </row>
    <row r="8" spans="1:11" x14ac:dyDescent="0.25">
      <c r="A8" t="s">
        <v>51</v>
      </c>
      <c r="B8" s="18">
        <f>B6*B7</f>
        <v>3858904184.975086</v>
      </c>
      <c r="C8" s="18">
        <f>C6*C7</f>
        <v>3984518161.7161784</v>
      </c>
      <c r="D8" s="18">
        <f>D6*D7</f>
        <v>4110459842.97779</v>
      </c>
      <c r="E8" s="18">
        <f>E6*E7</f>
        <v>4236502126.9611607</v>
      </c>
      <c r="F8" s="18">
        <f>F6*F7</f>
        <v>4362410234.416461</v>
      </c>
      <c r="G8" s="18">
        <f>G6*G7</f>
        <v>4487942345.222362</v>
      </c>
      <c r="H8" s="18">
        <f>H6*H7</f>
        <v>4612850288.919059</v>
      </c>
      <c r="I8" s="18">
        <f>I6*I7</f>
        <v>4736880287.040001</v>
      </c>
      <c r="J8" s="18">
        <f>J6*J7</f>
        <v>4859773744.675124</v>
      </c>
      <c r="K8" s="18">
        <f>K6*K7</f>
        <v>4981268088.292002</v>
      </c>
    </row>
    <row r="9" spans="1:11" x14ac:dyDescent="0.25">
      <c r="A9" t="s">
        <v>52</v>
      </c>
      <c r="B9" s="18">
        <f>B8*(1-Assumptions!B8)</f>
        <v>3048534306.130318</v>
      </c>
      <c r="C9" s="18">
        <f>C8*(1-Assumptions!B8)</f>
        <v>3147769347.755781</v>
      </c>
      <c r="D9" s="18">
        <f>D8*(1-Assumptions!B8)</f>
        <v>3247263275.952454</v>
      </c>
      <c r="E9" s="18">
        <f>E8*(1-Assumptions!B8)</f>
        <v>3346836680.299317</v>
      </c>
      <c r="F9" s="18">
        <f>F8*(1-Assumptions!B8)</f>
        <v>3446304085.1890044</v>
      </c>
      <c r="G9" s="18">
        <f>G8*(1-Assumptions!B8)</f>
        <v>3545474452.7256656</v>
      </c>
      <c r="H9" s="18">
        <f>H8*(1-Assumptions!B8)</f>
        <v>3644151728.2460566</v>
      </c>
      <c r="I9" s="18">
        <f>I8*(1-Assumptions!B8)</f>
        <v>3742135426.761601</v>
      </c>
      <c r="J9" s="18">
        <f>J8*(1-Assumptions!B8)</f>
        <v>3839221258.2933483</v>
      </c>
      <c r="K9" s="18">
        <f>K8*(1-Assumptions!B8)</f>
        <v>3935201789.7506814</v>
      </c>
    </row>
    <row r="10" spans="1:11" x14ac:dyDescent="0.25">
      <c r="A10" t="s">
        <v>53</v>
      </c>
      <c r="B10" s="18">
        <f>B6*Assumptions!B9</f>
        <v>592654573.7704777</v>
      </c>
      <c r="C10" s="18">
        <f>C6*Assumptions!B9</f>
        <v>611946500.7726992</v>
      </c>
      <c r="D10" s="18">
        <f>D6*Assumptions!B9</f>
        <v>631288756.980732</v>
      </c>
      <c r="E10" s="18">
        <f>E6*Assumptions!B9</f>
        <v>650646463.8608536</v>
      </c>
      <c r="F10" s="18">
        <f>F6*Assumptions!B9</f>
        <v>669983563.7683109</v>
      </c>
      <c r="G10" s="18">
        <f>G6*Assumptions!B9</f>
        <v>689262917.7138817</v>
      </c>
      <c r="H10" s="18">
        <f>H6*Assumptions!B9</f>
        <v>708446411.416665</v>
      </c>
      <c r="I10" s="18">
        <f>I6*Assumptions!B9</f>
        <v>727495069.3121691</v>
      </c>
      <c r="J10" s="18">
        <f>J6*Assumptions!B9</f>
        <v>746369176.1214303</v>
      </c>
      <c r="K10" s="18">
        <f>K6*Assumptions!B9</f>
        <v>765028405.5244659</v>
      </c>
    </row>
    <row r="11" spans="1:11" x14ac:dyDescent="0.25">
      <c r="A11" t="s">
        <v>54</v>
      </c>
      <c r="B11" s="18">
        <f>-B6*B19</f>
        <v>-1736437251.1911955</v>
      </c>
      <c r="C11" s="18">
        <f>-C6*C19</f>
        <v>-1709856365.1638942</v>
      </c>
      <c r="D11" s="18">
        <f>-D6*D19</f>
        <v>-1678169420.7475932</v>
      </c>
      <c r="E11" s="18">
        <f>-E6*E19</f>
        <v>-1641267931.4320068</v>
      </c>
      <c r="F11" s="18">
        <f>-F6*F19</f>
        <v>-1599059543.1117291</v>
      </c>
      <c r="G11" s="18">
        <f>-G6*G19</f>
        <v>-1551469054.7911932</v>
      </c>
      <c r="H11" s="18">
        <f>-H6*H19</f>
        <v>-1498439377.1532183</v>
      </c>
      <c r="I11" s="18">
        <f>-I6*I19</f>
        <v>-1439932420.4590087</v>
      </c>
      <c r="J11" s="18">
        <f>-J6*J19</f>
        <v>-1375929903.490219</v>
      </c>
      <c r="K11" s="18">
        <f>-K6*K19</f>
        <v>-1306434075.5654695</v>
      </c>
    </row>
    <row r="12" spans="1:11" x14ac:dyDescent="0.25">
      <c r="A12" t="s">
        <v>55</v>
      </c>
      <c r="B12" s="18">
        <f>-(B6-Assumptions!B29)*Assumptions!B11</f>
        <v>-1162612373.3507843</v>
      </c>
      <c r="C12" s="18">
        <f>-(C6-B6)*Assumptions!B11</f>
        <v>-153139093.22839257</v>
      </c>
      <c r="D12" s="18">
        <f>-(D6-C6)*Assumptions!B11</f>
        <v>-153538605.88153115</v>
      </c>
      <c r="E12" s="18">
        <f>-(E6-D6)*Assumptions!B11</f>
        <v>-153661253.13772202</v>
      </c>
      <c r="F12" s="18">
        <f>-(F6-E6)*Assumptions!B11</f>
        <v>-153497675.22725156</v>
      </c>
      <c r="G12" s="18">
        <f>-(G6-F6)*Assumptions!B11</f>
        <v>-153039288.45023927</v>
      </c>
      <c r="H12" s="18">
        <f>-(H6-G6)*Assumptions!B11</f>
        <v>-152278350.95262823</v>
      </c>
      <c r="I12" s="18">
        <f>-(I6-H6)*Assumptions!B11</f>
        <v>-151208025.87525094</v>
      </c>
      <c r="J12" s="18">
        <f>-(J6-I6)*Assumptions!B11</f>
        <v>-149822441.37318304</v>
      </c>
      <c r="K12" s="18">
        <f>-(K6-J6)*Assumptions!B11</f>
        <v>-148116747.00989604</v>
      </c>
    </row>
    <row r="13" spans="1:11" x14ac:dyDescent="0.25">
      <c r="A13" s="19" t="s">
        <v>56</v>
      </c>
      <c r="B13" s="20">
        <f>B9+B10+B11+B12</f>
        <v>742139255.3588161</v>
      </c>
      <c r="C13" s="20">
        <f>C9+C10+C11+C12</f>
        <v>1896720390.1361938</v>
      </c>
      <c r="D13" s="20">
        <f>D9+D10+D11+D12</f>
        <v>2046844006.3040614</v>
      </c>
      <c r="E13" s="20">
        <f>E9+E10+E11+E12</f>
        <v>2202553959.5904417</v>
      </c>
      <c r="F13" s="20">
        <f>F9+F10+F11+F12</f>
        <v>2363730430.618335</v>
      </c>
      <c r="G13" s="20">
        <f>G9+G10+G11+G12</f>
        <v>2530229027.1981153</v>
      </c>
      <c r="H13" s="20">
        <f>H9+H10+H11+H12</f>
        <v>2701880411.556875</v>
      </c>
      <c r="I13" s="20">
        <f>I9+I10+I11+I12</f>
        <v>2878490049.739511</v>
      </c>
      <c r="J13" s="20">
        <f>J9+J10+J11+J12</f>
        <v>3059838089.5513763</v>
      </c>
      <c r="K13" s="20">
        <f>K9+K10+K11+K12</f>
        <v>3245679372.6997814</v>
      </c>
    </row>
    <row r="14" spans="1:11" x14ac:dyDescent="0.25">
      <c r="A14" t="s">
        <v>57</v>
      </c>
      <c r="B14" s="21">
        <f>1/(1+Assumptions!$B$26)^(1-0.5*Assumptions!$B$32)</f>
        <v>0.954182449111776</v>
      </c>
      <c r="C14" s="21">
        <f>1/(1+Assumptions!$B$26)^(2-0.5*Assumptions!$B$32)</f>
        <v>0.8687489088428483</v>
      </c>
      <c r="D14" s="21">
        <f>1/(1+Assumptions!$B$26)^(3-0.5*Assumptions!$B$32)</f>
        <v>0.7909647335456582</v>
      </c>
      <c r="E14" s="21">
        <f>1/(1+Assumptions!$B$26)^(4-0.5*Assumptions!$B$32)</f>
        <v>0.7201450307963796</v>
      </c>
      <c r="F14" s="21">
        <f>1/(1+Assumptions!$B$26)^(5-0.5*Assumptions!$B$32)</f>
        <v>0.6556662305991192</v>
      </c>
      <c r="G14" s="21">
        <f>1/(1+Assumptions!$B$26)^(6-0.5*Assumptions!$B$32)</f>
        <v>0.596960594829975</v>
      </c>
      <c r="H14" s="21">
        <f>1/(1+Assumptions!$B$26)^(7-0.5*Assumptions!$B$32)</f>
        <v>0.543511218282707</v>
      </c>
      <c r="I14" s="21">
        <f>1/(1+Assumptions!$B$26)^(8-0.5*Assumptions!$B$32)</f>
        <v>0.4948474773000533</v>
      </c>
      <c r="J14" s="21">
        <f>1/(1+Assumptions!$B$26)^(9-0.5*Assumptions!$B$32)</f>
        <v>0.4505408859157267</v>
      </c>
      <c r="K14" s="21">
        <f>1/(1+Assumptions!$B$26)^(10-0.5*Assumptions!$B$32)</f>
        <v>0.41020132302027607</v>
      </c>
    </row>
    <row r="15" spans="1:11" x14ac:dyDescent="0.25">
      <c r="A15" s="19" t="s">
        <v>58</v>
      </c>
      <c r="B15" s="20">
        <f>B13*B14</f>
        <v>708136252.2602649</v>
      </c>
      <c r="C15" s="20">
        <f>C13*C14</f>
        <v>1647773769.3107998</v>
      </c>
      <c r="D15" s="20">
        <f>D13*D14</f>
        <v>1618981424.0558195</v>
      </c>
      <c r="E15" s="20">
        <f>E13*E14</f>
        <v>1586158289.0599465</v>
      </c>
      <c r="F15" s="20">
        <f>F13*F14</f>
        <v>1549818221.5959566</v>
      </c>
      <c r="G15" s="20">
        <f>G13*G14</f>
        <v>1510447025.1322558</v>
      </c>
      <c r="H15" s="20">
        <f>H13*H14</f>
        <v>1468502314.139459</v>
      </c>
      <c r="I15" s="20">
        <f>I13*I14</f>
        <v>1424413539.546902</v>
      </c>
      <c r="J15" s="20">
        <f>J13*J14</f>
        <v>1378582163.625162</v>
      </c>
      <c r="K15" s="20">
        <f>K13*K14</f>
        <v>1331381972.78107</v>
      </c>
    </row>
    <row r="17" spans="1:2" x14ac:dyDescent="0.25">
      <c r="A17" s="22" t="s">
        <v>59</v>
      </c>
      <c r="B17" s="23">
        <f>SUM(B15:K15)</f>
        <v>14224194971.507637</v>
      </c>
    </row>
    <row r="19" spans="1:11" x14ac:dyDescent="0.25">
      <c r="A19" t="s">
        <v>7</v>
      </c>
      <c r="B19" s="9">
        <f>Assumptions!$B$10+($B$20-Assumptions!$B$10)*0/9</f>
        <v>0.07192299322400181</v>
      </c>
      <c r="C19" s="9">
        <f>Assumptions!$B$10+($B$20-Assumptions!$B$10)*1/9</f>
        <v>0.0685893162018739</v>
      </c>
      <c r="D19" s="9">
        <f>Assumptions!$B$10+($B$20-Assumptions!$B$10)*2/9</f>
        <v>0.06525563917974599</v>
      </c>
      <c r="E19" s="9">
        <f>Assumptions!$B$10+($B$20-Assumptions!$B$10)*3/9</f>
        <v>0.06192196215761808</v>
      </c>
      <c r="F19" s="9">
        <f>Assumptions!$B$10+($B$20-Assumptions!$B$10)*4/9</f>
        <v>0.058588285135490165</v>
      </c>
      <c r="G19" s="9">
        <f>Assumptions!$B$10+($B$20-Assumptions!$B$10)*5/9</f>
        <v>0.05525460811336226</v>
      </c>
      <c r="H19" s="9">
        <f>Assumptions!$B$10+($B$20-Assumptions!$B$10)*6/9</f>
        <v>0.05192093109123435</v>
      </c>
      <c r="I19" s="9">
        <f>Assumptions!$B$10+($B$20-Assumptions!$B$10)*7/9</f>
        <v>0.04858725406910644</v>
      </c>
      <c r="J19" s="9">
        <f>Assumptions!$B$10+($B$20-Assumptions!$B$10)*8/9</f>
        <v>0.04525357704697853</v>
      </c>
      <c r="K19" s="9">
        <f>Assumptions!$B$10+($B$20-Assumptions!$B$10)*9/9</f>
        <v>0.04191990002485062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0.04191990002485062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3245679372.6997814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3935201789.7506814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0.13758015445385965</v>
      </c>
    </row>
    <row r="7" spans="1:2" x14ac:dyDescent="0.25">
      <c r="A7" t="s">
        <v>66</v>
      </c>
      <c r="B7" s="18">
        <f>-MAX(B5,0)*B6</f>
        <v>-541405670.0410037</v>
      </c>
    </row>
    <row r="8" spans="1:2" x14ac:dyDescent="0.25">
      <c r="A8" t="s">
        <v>67</v>
      </c>
      <c r="B8" s="18">
        <f>IF(OR(Assumptions!$B$33=0,Assumptions!B12&lt;=0),B5,MAX(B5+B7,0))</f>
        <v>3393796119.7096777</v>
      </c>
    </row>
    <row r="9" spans="1:2" x14ac:dyDescent="0.25">
      <c r="A9" t="s">
        <v>68</v>
      </c>
      <c r="B9" s="18">
        <f>B8*(1+Assumptions!B12)/(Assumptions!B26-Assumptions!B12)</f>
        <v>47431126840.45283</v>
      </c>
    </row>
    <row r="10" spans="1:2" x14ac:dyDescent="0.25">
      <c r="A10" t="s">
        <v>69</v>
      </c>
      <c r="B10" s="18">
        <f>B9/(1+Assumptions!B26)^(10-0.5*Assumptions!B32)</f>
        <v>19456310982.296276</v>
      </c>
    </row>
    <row r="11" spans="1:2" x14ac:dyDescent="0.25">
      <c r="A11" t="s">
        <v>70</v>
      </c>
      <c r="B11" s="18">
        <f>Forecast!B17+B10</f>
        <v>33680505953.803913</v>
      </c>
    </row>
    <row r="12" spans="1:2" x14ac:dyDescent="0.25">
      <c r="A12" t="s">
        <v>71</v>
      </c>
      <c r="B12" s="18">
        <f>-Assumptions!B30</f>
        <v>-3441285000</v>
      </c>
    </row>
    <row r="13" spans="1:2" x14ac:dyDescent="0.25">
      <c r="A13" t="s">
        <v>72</v>
      </c>
      <c r="B13" s="18">
        <f>B11+B12</f>
        <v>30239220953.803913</v>
      </c>
    </row>
    <row r="14" spans="1:2" x14ac:dyDescent="0.25">
      <c r="A14" s="19" t="s">
        <v>73</v>
      </c>
      <c r="B14" s="24">
        <f>B13/Assumptions!B31</f>
        <v>203.76284300830108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5746296493.816467</v>
      </c>
    </row>
    <row r="18" spans="1:2" x14ac:dyDescent="0.25">
      <c r="A18" t="s">
        <v>68</v>
      </c>
      <c r="B18" s="18">
        <f>B17*Assumptions!B13</f>
        <v>104510030873.974</v>
      </c>
    </row>
    <row r="19" spans="1:2" x14ac:dyDescent="0.25">
      <c r="A19" t="s">
        <v>69</v>
      </c>
      <c r="B19" s="18">
        <f>B18/(1+Assumptions!B26)^(10-0.5*Assumptions!B32)</f>
        <v>42870152933.394035</v>
      </c>
    </row>
    <row r="20" spans="1:2" x14ac:dyDescent="0.25">
      <c r="A20" t="s">
        <v>70</v>
      </c>
      <c r="B20" s="18">
        <f>Forecast!B17+B19</f>
        <v>57094347904.90167</v>
      </c>
    </row>
    <row r="21" spans="1:2" x14ac:dyDescent="0.25">
      <c r="A21" t="s">
        <v>71</v>
      </c>
      <c r="B21" s="18">
        <f>-Assumptions!B30</f>
        <v>-3441285000</v>
      </c>
    </row>
    <row r="22" spans="1:2" x14ac:dyDescent="0.25">
      <c r="A22" t="s">
        <v>72</v>
      </c>
      <c r="B22" s="18">
        <f>B20+B21</f>
        <v>53653062904.90167</v>
      </c>
    </row>
    <row r="23" spans="1:2" x14ac:dyDescent="0.25">
      <c r="A23" s="19" t="s">
        <v>73</v>
      </c>
      <c r="B23" s="25">
        <f>B22/Assumptions!B31</f>
        <v>361.5338057255982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250.8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203.76284300830108</v>
      </c>
    </row>
    <row r="29" spans="1:2" x14ac:dyDescent="0.25">
      <c r="A29" s="19" t="s">
        <v>81</v>
      </c>
      <c r="B29" s="11">
        <f>B28/B26-1</f>
        <v>-0.18754847285366405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0.078341</v>
      </c>
      <c r="B5" s="31">
        <v>276.676852876666</v>
      </c>
      <c r="C5" s="31">
        <v>285.7404600122023</v>
      </c>
      <c r="D5" s="31">
        <v>296.81946148281054</v>
      </c>
      <c r="E5" s="31">
        <v>310.5392252996217</v>
      </c>
      <c r="F5" s="31">
        <v>327.8136998069989</v>
      </c>
    </row>
    <row r="6" spans="1:6" x14ac:dyDescent="0.25">
      <c r="A6" s="30">
        <v>0.088341</v>
      </c>
      <c r="B6" s="31">
        <v>231.74275947876205</v>
      </c>
      <c r="C6" s="31">
        <v>236.76527452266333</v>
      </c>
      <c r="D6" s="31">
        <v>242.83276213999002</v>
      </c>
      <c r="E6" s="31">
        <v>250.21389425274194</v>
      </c>
      <c r="F6" s="31">
        <v>259.2780802726542</v>
      </c>
    </row>
    <row r="7" spans="1:6" x14ac:dyDescent="0.25">
      <c r="A7" s="30">
        <v>0.098341</v>
      </c>
      <c r="B7" s="31">
        <v>197.81934876213657</v>
      </c>
      <c r="C7" s="31">
        <v>200.50473393853375</v>
      </c>
      <c r="D7" s="32">
        <v>203.76247046918482</v>
      </c>
      <c r="E7" s="31">
        <v>207.71818236184214</v>
      </c>
      <c r="F7" s="31">
        <v>212.53715956188236</v>
      </c>
    </row>
    <row r="8" spans="1:6" x14ac:dyDescent="0.25">
      <c r="A8" s="30">
        <v>0.108341</v>
      </c>
      <c r="B8" s="31">
        <v>171.3518567197828</v>
      </c>
      <c r="C8" s="31">
        <v>172.62624039985147</v>
      </c>
      <c r="D8" s="31">
        <v>174.2255735042932</v>
      </c>
      <c r="E8" s="31">
        <v>176.21207430151927</v>
      </c>
      <c r="F8" s="31">
        <v>178.66492790479174</v>
      </c>
    </row>
    <row r="9" spans="1:6" x14ac:dyDescent="0.25">
      <c r="A9" s="30">
        <v>0.118341</v>
      </c>
      <c r="B9" s="31">
        <v>150.16275989007667</v>
      </c>
      <c r="C9" s="31">
        <v>150.56068704932443</v>
      </c>
      <c r="D9" s="31">
        <v>151.14699588691354</v>
      </c>
      <c r="E9" s="31">
        <v>151.9536729682567</v>
      </c>
      <c r="F9" s="31">
        <v>153.0203809282672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18176581000</v>
      </c>
      <c r="C5" s="18">
        <v>17540390000</v>
      </c>
      <c r="D5" s="18">
        <v>18795316000</v>
      </c>
      <c r="E5" s="18">
        <v>22260774000</v>
      </c>
      <c r="F5" s="6" t="s">
        <v>91</v>
      </c>
    </row>
    <row r="6" spans="1:6" x14ac:dyDescent="0.25">
      <c r="A6" t="s">
        <v>51</v>
      </c>
      <c r="B6" s="18">
        <v>1598972000</v>
      </c>
      <c r="C6" s="18">
        <v>2107941000</v>
      </c>
      <c r="D6" s="18">
        <v>3423214000</v>
      </c>
      <c r="E6" s="18">
        <v>5544373000</v>
      </c>
      <c r="F6" s="6" t="s">
        <v>92</v>
      </c>
    </row>
    <row r="7" spans="1:6" x14ac:dyDescent="0.25">
      <c r="A7" t="s">
        <v>93</v>
      </c>
      <c r="B7" s="18">
        <v>551390000</v>
      </c>
      <c r="C7" s="18">
        <v>478907000</v>
      </c>
      <c r="D7" s="18">
        <v>437804000</v>
      </c>
      <c r="E7" s="18">
        <v>384202000</v>
      </c>
      <c r="F7" s="6" t="s">
        <v>94</v>
      </c>
    </row>
    <row r="8" spans="1:6" x14ac:dyDescent="0.25">
      <c r="A8" t="s">
        <v>95</v>
      </c>
      <c r="B8" s="18">
        <v>948025000</v>
      </c>
      <c r="C8" s="18">
        <v>1868006000</v>
      </c>
      <c r="D8" s="18">
        <v>1657905000</v>
      </c>
      <c r="E8" s="18">
        <v>908902000</v>
      </c>
      <c r="F8" s="6" t="s">
        <v>96</v>
      </c>
    </row>
    <row r="9" spans="1:6" x14ac:dyDescent="0.25">
      <c r="A9" t="s">
        <v>97</v>
      </c>
      <c r="B9" s="18">
        <v>442339000</v>
      </c>
      <c r="C9" s="18">
        <v>202859000</v>
      </c>
      <c r="D9" s="18">
        <v>-517099000</v>
      </c>
      <c r="E9" s="18">
        <v>-102078000</v>
      </c>
      <c r="F9" s="6" t="s">
        <v>98</v>
      </c>
    </row>
    <row r="10" spans="1:6" x14ac:dyDescent="0.25">
      <c r="A10" t="s">
        <v>99</v>
      </c>
      <c r="B10" s="18">
        <v>4211163000</v>
      </c>
      <c r="C10" s="18">
        <v>3231007000</v>
      </c>
      <c r="D10" s="18">
        <v>3071056000</v>
      </c>
      <c r="E10" s="18">
        <v>3070575000</v>
      </c>
      <c r="F10" s="6" t="s">
        <v>100</v>
      </c>
    </row>
    <row r="11" spans="1:6" x14ac:dyDescent="0.25">
      <c r="A11" t="s">
        <v>101</v>
      </c>
      <c r="B11" s="18">
        <v>769878000</v>
      </c>
      <c r="C11" s="18">
        <v>737275000</v>
      </c>
      <c r="D11" s="18">
        <v>2122097000</v>
      </c>
      <c r="E11" s="18">
        <v>2256632000</v>
      </c>
      <c r="F11" s="6" t="s">
        <v>102</v>
      </c>
    </row>
    <row r="12" spans="1:6" x14ac:dyDescent="0.25">
      <c r="A12" t="s">
        <v>34</v>
      </c>
      <c r="B12" s="34">
        <v>148404000</v>
      </c>
      <c r="C12" s="34">
        <v>156136000</v>
      </c>
      <c r="D12" s="34">
        <v>167431000</v>
      </c>
      <c r="E12" s="34">
        <v>184622000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