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<sst xmlns="http://schemas.openxmlformats.org/spreadsheetml/2006/main" count="122" uniqueCount="105">
  <si>
    <t>Santos Limited (STO.AX)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</si>
  <si>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</si>
  <si>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</si>
  <si>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</si>
  <si>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</si>
  <si>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</si>
  <si>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</si>
  <si>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</si>
  <si>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</si>
  <si>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</si>
  <si>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</si>
  <si>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</si>
  <si>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</si>
  <si>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</si>
  <si>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</si>
  <si>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</si>
  <si>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</si>
  <si>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</si>
  <si>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</si>
  <si>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Clamped from a reported -0.088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</si>
  <si>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</si>
  <si>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</si>
  <si>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</si>
  <si>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</si>
  <si>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</si>
  <si>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</si>
  <si>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</si>
  <si>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</si>
  <si>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</si>
  <si>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</si>
  <si>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</si>
  <si>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</si>
  <si>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</si>
  <si>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</si>
  <si>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</si>
  <si>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</si>
  <si>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</si>
  <si>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</si>
  <si>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</si>
  <si>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</si>
  <si>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</si>
  <si>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</si>
  <si>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</si>
  <si>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</si>
  <si>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</si>
  <si>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</si>
  <si>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</si>
  <si>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</si>
  <si>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</si>
  <si>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</si>
  <si>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</si>
  <si>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</si>
  <si>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</si>
  <si>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</si>
  <si>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</si>
  <si>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</si>
  <si>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</si>
  <si>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</si>
  <si>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</si>
  <si>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</si>
  <si>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</si>
  <si>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</si>
  <si>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</si>
  <si>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</si>
  <si>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</si>
  <si>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</si>
  <si>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</si>
  <si>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</si>
  <si>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</si>
  <si>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</si>
  <si>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</si>
  <si>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</si>
  <si>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</si>
  <si>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</si>
  <si>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</si>
  <si>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</si>
  <si>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</si>
  <si>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</si>
  <si>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</si>
  <si>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</si>
  <si>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</si>
  <si>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</si>
  <si>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</si>
  <si>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</si>
  <si>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</si>
  <si>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</si>
  <si>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</si>
  <si>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</si>
  <si>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</si>
  <si>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</si>
  <si>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</si>
  <si>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</si>
  <si>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</si>
  <si>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</si>
  <si>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</si>
  <si>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</si>
  <si>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</si>
  <si>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</si>
  <si>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</si>
  <si>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</si>
  <si>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</si>
  <si>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Adjusted: Reports in USD, trades in AUD. Modelled in USD, converted at the end.</t>
  </si>
  <si>
    <t>Adjusted: Beta of -0.088 is not usable in a cost of equity. Clamped to 0.30.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</si>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</sst>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-0.1402243201719232</v>
      </c>
    </row>
    <row r="7" spans="1:2" x14ac:dyDescent="0.25">
      <c r="A7" t="s">
        <v>5</v>
      </c>
      <c r="B7" s="6">
        <v>0.3168156869419707</v>
      </c>
    </row>
    <row r="8" spans="1:2" x14ac:dyDescent="0.25">
      <c r="A8" t="s">
        <v>6</v>
      </c>
      <c r="B8" s="6">
        <v>0.28044170229470144</v>
      </c>
    </row>
    <row r="9" spans="1:2" x14ac:dyDescent="0.25">
      <c r="A9" t="s">
        <v>7</v>
      </c>
      <c r="B9" s="6">
        <v>0.3023446316483239</v>
      </c>
    </row>
    <row r="10" spans="1:2" x14ac:dyDescent="0.25">
      <c r="A10" t="s">
        <v>8</v>
      </c>
      <c r="B10" s="6">
        <v>0.3702431688510944</v>
      </c>
    </row>
    <row r="11" spans="1:2" x14ac:dyDescent="0.25">
      <c r="A11" t="s">
        <v>9</v>
      </c>
      <c r="B11" s="6">
        <v>-0.0728476821192053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0.05871613521359746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0.07148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7540000000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0.038481977761279366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4951000000</v>
      </c>
      <c r="C29" s="8" t="s">
        <v>30</v>
      </c>
    </row>
    <row r="30" spans="1:2" x14ac:dyDescent="0.25">
      <c r="A30" t="s">
        <v>31</v>
      </c>
      <c r="B30" s="11">
        <v>5806000000</v>
      </c>
    </row>
    <row r="31" spans="1:2" x14ac:dyDescent="0.25">
      <c r="A31" t="s">
        <v>32</v>
      </c>
      <c r="B31" s="13">
        <v>3258964143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-0.1402243201719232</v>
      </c>
      <c r="C5" s="10">
        <f>Assumptions!B6</f>
        <v>-0.1402243201719232</v>
      </c>
      <c r="D5" s="10">
        <f>Assumptions!B6</f>
        <v>-0.1402243201719232</v>
      </c>
      <c r="E5" s="10">
        <f>Assumptions!B6</f>
        <v>-0.1402243201719232</v>
      </c>
      <c r="F5" s="10">
        <f>Assumptions!B6</f>
        <v>-0.1402243201719232</v>
      </c>
    </row>
    <row r="6" spans="1:6" x14ac:dyDescent="0.25">
      <c r="A6" t="s">
        <v>43</v>
      </c>
      <c r="B6" s="18">
        <f>Assumptions!B29*(1+B5)</f>
        <v>4256749390.8288083</v>
      </c>
      <c r="C6" s="18">
        <f>B6*(1+C5)</f>
        <v>3659849601.35759</v>
      </c>
      <c r="D6" s="18">
        <f>C6*(1+D5)</f>
        <v>3146649679.075738</v>
      </c>
      <c r="E6" s="18">
        <f>D6*(1+E5)</f>
        <v>2705412867.0081425</v>
      </c>
      <c r="F6" s="18">
        <f>E6*(1+F5)</f>
        <v>2326048186.947552</v>
      </c>
    </row>
    <row r="7" spans="1:6" x14ac:dyDescent="0.25">
      <c r="A7" t="s">
        <v>5</v>
      </c>
      <c r="B7" s="10">
        <f>Assumptions!B7</f>
        <v>0.3168156869419707</v>
      </c>
      <c r="C7" s="10">
        <f>Assumptions!B7</f>
        <v>0.3168156869419707</v>
      </c>
      <c r="D7" s="10">
        <f>Assumptions!B7</f>
        <v>0.3168156869419707</v>
      </c>
      <c r="E7" s="10">
        <f>Assumptions!B7</f>
        <v>0.3168156869419707</v>
      </c>
      <c r="F7" s="10">
        <f>Assumptions!B7</f>
        <v>0.3168156869419707</v>
      </c>
    </row>
    <row r="8" spans="1:6" x14ac:dyDescent="0.25">
      <c r="A8" t="s">
        <v>44</v>
      </c>
      <c r="B8" s="18">
        <f>B6*B7</f>
        <v>1348604982.3952444</v>
      </c>
      <c r="C8" s="18">
        <f>C6*C7</f>
        <v>1159497765.5584025</v>
      </c>
      <c r="D8" s="18">
        <f>D6*D7</f>
        <v>996907979.6421115</v>
      </c>
      <c r="E8" s="18">
        <f>E6*E7</f>
        <v>857117235.922831</v>
      </c>
      <c r="F8" s="18">
        <f>F6*F7</f>
        <v>736928554.2079142</v>
      </c>
    </row>
    <row r="9" spans="1:6" x14ac:dyDescent="0.25">
      <c r="A9" t="s">
        <v>45</v>
      </c>
      <c r="B9" s="18">
        <f>B8*(1-Assumptions!B8)</f>
        <v>970399905.4092062</v>
      </c>
      <c r="C9" s="18">
        <f>C8*(1-Assumptions!B8)</f>
        <v>834326238.3783015</v>
      </c>
      <c r="D9" s="18">
        <f>D8*(1-Assumptions!B8)</f>
        <v>717333408.8001062</v>
      </c>
      <c r="E9" s="18">
        <f>E8*(1-Assumptions!B8)</f>
        <v>616745819.214503</v>
      </c>
      <c r="F9" s="18">
        <f>F8*(1-Assumptions!B8)</f>
        <v>530263055.9962736</v>
      </c>
    </row>
    <row r="10" spans="1:6" x14ac:dyDescent="0.25">
      <c r="A10" t="s">
        <v>46</v>
      </c>
      <c r="B10" s="18">
        <f>B6*Assumptions!B9</f>
        <v>1287005326.5893633</v>
      </c>
      <c r="C10" s="18">
        <f>C6*Assumptions!B9</f>
        <v>1106535879.6107259</v>
      </c>
      <c r="D10" s="18">
        <f>D6*Assumptions!B9</f>
        <v>951372638.1464707</v>
      </c>
      <c r="E10" s="18">
        <f>E6*Assumptions!B9</f>
        <v>817967056.7322128</v>
      </c>
      <c r="F10" s="18">
        <f>F6*Assumptions!B9</f>
        <v>703268182.2789093</v>
      </c>
    </row>
    <row r="11" spans="1:6" x14ac:dyDescent="0.25">
      <c r="A11" t="s">
        <v>47</v>
      </c>
      <c r="B11" s="18">
        <f>-B6*Assumptions!B10</f>
        <v>-1576032383.4654236</v>
      </c>
      <c r="C11" s="18">
        <f>-C6*Assumptions!B10</f>
        <v>-1355034313.9250486</v>
      </c>
      <c r="D11" s="18">
        <f>-D6*Assumptions!B10</f>
        <v>-1165025548.4452803</v>
      </c>
      <c r="E11" s="18">
        <f>-E6*Assumptions!B10</f>
        <v>-1001660632.931619</v>
      </c>
      <c r="F11" s="18">
        <f>-F6*Assumptions!B10</f>
        <v>-861203451.6358045</v>
      </c>
    </row>
    <row r="12" spans="1:6" x14ac:dyDescent="0.25">
      <c r="A12" t="s">
        <v>48</v>
      </c>
      <c r="B12" s="18">
        <f>-(B6-Assumptions!B29)*Assumptions!B11</f>
        <v>-50574547.687967606</v>
      </c>
      <c r="C12" s="18">
        <f>-(C6-B6)*Assumptions!B11</f>
        <v>-43482766.12041986</v>
      </c>
      <c r="D12" s="18">
        <f>-(D6-C6)*Assumptions!B11</f>
        <v>-37385424.801989235</v>
      </c>
      <c r="E12" s="18">
        <f>-(E6-D6)*Assumptions!B11</f>
        <v>-32143079.02479172</v>
      </c>
      <c r="F12" s="18">
        <f>-(F6-E6)*Assumptions!B11</f>
        <v>-27635837.6203079</v>
      </c>
    </row>
    <row r="13" spans="1:6" x14ac:dyDescent="0.25">
      <c r="A13" s="19" t="s">
        <v>49</v>
      </c>
      <c r="B13" s="20">
        <f>B9+B10+B11+B12</f>
        <v>630798300.8451782</v>
      </c>
      <c r="C13" s="20">
        <f>C9+C10+C11+C12</f>
        <v>542345037.943559</v>
      </c>
      <c r="D13" s="20">
        <f>D9+D10+D11+D12</f>
        <v>466295073.69930726</v>
      </c>
      <c r="E13" s="20">
        <f>E9+E10+E11+E12</f>
        <v>400909163.99030507</v>
      </c>
      <c r="F13" s="20">
        <f>F9+F10+F11+F12</f>
        <v>344691949.0190705</v>
      </c>
    </row>
    <row r="14" spans="1:6" x14ac:dyDescent="0.25">
      <c r="A14" t="s">
        <v>50</v>
      </c>
      <c r="B14" s="21">
        <f>1/(1+Assumptions!$B$26)^(1-0.5*Assumptions!$B$32)</f>
        <v>0.9812971058863947</v>
      </c>
      <c r="C14" s="21">
        <f>1/(1+Assumptions!$B$26)^(2-0.5*Assumptions!$B$32)</f>
        <v>0.9449341701642607</v>
      </c>
      <c r="D14" s="21">
        <f>1/(1+Assumptions!$B$26)^(3-0.5*Assumptions!$B$32)</f>
        <v>0.9099186990238528</v>
      </c>
      <c r="E14" s="21">
        <f>1/(1+Assumptions!$B$26)^(4-0.5*Assumptions!$B$32)</f>
        <v>0.8762007608311332</v>
      </c>
      <c r="F14" s="21">
        <f>1/(1+Assumptions!$B$26)^(5-0.5*Assumptions!$B$32)</f>
        <v>0.843732274218195</v>
      </c>
    </row>
    <row r="15" spans="1:6" x14ac:dyDescent="0.25">
      <c r="A15" s="19" t="s">
        <v>51</v>
      </c>
      <c r="B15" s="20">
        <f>B13*B14</f>
        <v>619000547.0174288</v>
      </c>
      <c r="C15" s="20">
        <f>C13*C14</f>
        <v>512480358.37190145</v>
      </c>
      <c r="D15" s="20">
        <f>D13*D14</f>
        <v>424290606.8217052</v>
      </c>
      <c r="E15" s="20">
        <f>E13*E14</f>
        <v>351276914.5124788</v>
      </c>
      <c r="F15" s="20">
        <f>F13*F14</f>
        <v>290827722.0505625</v>
      </c>
    </row>
    <row r="17" spans="1:2" x14ac:dyDescent="0.25">
      <c r="A17" s="22" t="s">
        <v>52</v>
      </c>
      <c r="B17" s="23">
        <f>SUM(B15:F15)</f>
        <v>2197876148.7740765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344691949.0190705</v>
      </c>
    </row>
    <row r="5" spans="1:2" x14ac:dyDescent="0.25">
      <c r="A5" t="s">
        <v>56</v>
      </c>
      <c r="B5" s="18">
        <f>IF(Assumptions!$B$33=0,B4,B4-Forecast!F11-Forecast!F10-Forecast!F12)</f>
        <v>530263055.9962736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0.42577734227661684</v>
      </c>
    </row>
    <row r="7" spans="1:2" x14ac:dyDescent="0.25">
      <c r="A7" t="s">
        <v>58</v>
      </c>
      <c r="B7" s="18">
        <f>-MAX(Forecast!F9,0)*B6</f>
        <v>-225773994.68957022</v>
      </c>
    </row>
    <row r="8" spans="1:2" x14ac:dyDescent="0.25">
      <c r="A8" t="s">
        <v>59</v>
      </c>
      <c r="B8" s="18">
        <f>IF(OR(Assumptions!$B$33=0,Assumptions!B12&lt;=0),B5,MAX(B5+B7,0))</f>
        <v>304489061.3067033</v>
      </c>
    </row>
    <row r="9" spans="1:2" x14ac:dyDescent="0.25">
      <c r="A9" t="s">
        <v>60</v>
      </c>
      <c r="B9" s="18">
        <f>B8*(1+Assumptions!B12)/(Assumptions!B26-Assumptions!B12)</f>
        <v>23149518072.61802</v>
      </c>
    </row>
    <row r="10" spans="1:2" x14ac:dyDescent="0.25">
      <c r="A10" t="s">
        <v>61</v>
      </c>
      <c r="B10" s="18">
        <f>B9/(1+Assumptions!B26)^(5-0.5*Assumptions!B32)</f>
        <v>19531995530.465206</v>
      </c>
    </row>
    <row r="11" spans="1:2" x14ac:dyDescent="0.25">
      <c r="A11" t="s">
        <v>62</v>
      </c>
      <c r="B11" s="18">
        <f>Forecast!B17+B10</f>
        <v>21729871679.23928</v>
      </c>
    </row>
    <row r="12" spans="1:2" x14ac:dyDescent="0.25">
      <c r="A12" t="s">
        <v>63</v>
      </c>
      <c r="B12" s="18">
        <f>-Assumptions!B30</f>
        <v>-5806000000</v>
      </c>
    </row>
    <row r="13" spans="1:2" x14ac:dyDescent="0.25">
      <c r="A13" t="s">
        <v>64</v>
      </c>
      <c r="B13" s="18">
        <f>B11+B12</f>
        <v>15923871679.23928</v>
      </c>
    </row>
    <row r="14" spans="1:2" x14ac:dyDescent="0.25">
      <c r="A14" s="19" t="s">
        <v>65</v>
      </c>
      <c r="B14" s="24">
        <f>B13/Assumptions!B31</f>
        <v>4.8861757848556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1440196736.4868236</v>
      </c>
    </row>
    <row r="18" spans="1:2" x14ac:dyDescent="0.25">
      <c r="A18" t="s">
        <v>60</v>
      </c>
      <c r="B18" s="18">
        <f>B17*Assumptions!B13</f>
        <v>11521573891.894588</v>
      </c>
    </row>
    <row r="19" spans="1:2" x14ac:dyDescent="0.25">
      <c r="A19" t="s">
        <v>61</v>
      </c>
      <c r="B19" s="18">
        <f>B18/(1+Assumptions!B26)^(5-0.5*Assumptions!B32)</f>
        <v>9721123742.3812</v>
      </c>
    </row>
    <row r="20" spans="1:2" x14ac:dyDescent="0.25">
      <c r="A20" t="s">
        <v>62</v>
      </c>
      <c r="B20" s="18">
        <f>Forecast!B17+B19</f>
        <v>11918999891.155277</v>
      </c>
    </row>
    <row r="21" spans="1:2" x14ac:dyDescent="0.25">
      <c r="A21" t="s">
        <v>63</v>
      </c>
      <c r="B21" s="18">
        <f>-Assumptions!B30</f>
        <v>-5806000000</v>
      </c>
    </row>
    <row r="22" spans="1:2" x14ac:dyDescent="0.25">
      <c r="A22" t="s">
        <v>64</v>
      </c>
      <c r="B22" s="18">
        <f>B20+B21</f>
        <v>6112999891.155277</v>
      </c>
    </row>
    <row r="23" spans="1:2" x14ac:dyDescent="0.25">
      <c r="A23" s="19" t="s">
        <v>65</v>
      </c>
      <c r="B23" s="25">
        <f>B22/Assumptions!B31</f>
        <v>1.875749355599853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8.51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6.861168037094233</v>
      </c>
    </row>
    <row r="29" spans="1:2" x14ac:dyDescent="0.25">
      <c r="A29" s="19" t="s">
        <v>73</v>
      </c>
      <c r="B29" s="12">
        <f>B28/B26-1</f>
        <v>-0.19375228706295733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0.018482</v>
      </c>
      <c r="B5" s="31">
        <v>31.44106570262682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0.028482</v>
      </c>
      <c r="B6" s="31">
        <v>6.9444854279651045</v>
      </c>
      <c r="C6" s="31">
        <v>10.277023091935645</v>
      </c>
      <c r="D6" s="31">
        <v>23.145250021250316</v>
      </c>
      <c r="E6" s="31" t="s">
        <v>76</v>
      </c>
      <c r="F6" s="31" t="s">
        <v>76</v>
      </c>
    </row>
    <row r="7" spans="1:6" x14ac:dyDescent="0.25">
      <c r="A7" s="30">
        <v>0.038482</v>
      </c>
      <c r="B7" s="31">
        <v>3.3109222907623574</v>
      </c>
      <c r="C7" s="31">
        <v>3.8886284375445648</v>
      </c>
      <c r="D7" s="32">
        <v>4.8861652905287</v>
      </c>
      <c r="E7" s="31">
        <v>7.0459828135238824</v>
      </c>
      <c r="F7" s="31">
        <v>15.375033921569091</v>
      </c>
    </row>
    <row r="8" spans="1:6" x14ac:dyDescent="0.25">
      <c r="A8" s="30">
        <v>0.048482</v>
      </c>
      <c r="B8" s="31">
        <v>1.8470484987501297</v>
      </c>
      <c r="C8" s="31">
        <v>1.9842337432713533</v>
      </c>
      <c r="D8" s="31">
        <v>2.1750721219898277</v>
      </c>
      <c r="E8" s="31">
        <v>2.4631085441663916</v>
      </c>
      <c r="F8" s="31">
        <v>2.9564850252194765</v>
      </c>
    </row>
    <row r="9" spans="1:6" x14ac:dyDescent="0.25">
      <c r="A9" s="30">
        <v>0.058482</v>
      </c>
      <c r="B9" s="31">
        <v>1.0559189941736342</v>
      </c>
      <c r="C9" s="31">
        <v>1.0682367619995228</v>
      </c>
      <c r="D9" s="31">
        <v>1.0810291217649914</v>
      </c>
      <c r="E9" s="31">
        <v>1.0945460165601917</v>
      </c>
      <c r="F9" s="31">
        <v>1.1092502700562756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4951000000</v>
      </c>
      <c r="C5" s="18">
        <v>5404000000</v>
      </c>
      <c r="D5" s="18">
        <v>5889000000</v>
      </c>
      <c r="E5" s="18">
        <v>7790000000</v>
      </c>
      <c r="F5" s="8" t="s">
        <v>85</v>
      </c>
    </row>
    <row r="6" spans="1:6" x14ac:dyDescent="0.25">
      <c r="A6" t="s">
        <v>44</v>
      </c>
      <c r="B6" s="18">
        <v>1180000000</v>
      </c>
      <c r="C6" s="18">
        <v>1618000000</v>
      </c>
      <c r="D6" s="18">
        <v>1809000000</v>
      </c>
      <c r="E6" s="18">
        <v>3290000000</v>
      </c>
      <c r="F6" s="8" t="s">
        <v>86</v>
      </c>
    </row>
    <row r="7" spans="1:6" x14ac:dyDescent="0.25">
      <c r="A7" t="s">
        <v>87</v>
      </c>
      <c r="B7" s="18">
        <v>1777000000</v>
      </c>
      <c r="C7" s="18">
        <v>1679000000</v>
      </c>
      <c r="D7" s="18">
        <v>1858000000</v>
      </c>
      <c r="E7" s="18">
        <v>1747000000</v>
      </c>
      <c r="F7" s="8" t="s">
        <v>88</v>
      </c>
    </row>
    <row r="8" spans="1:6" x14ac:dyDescent="0.25">
      <c r="A8" t="s">
        <v>89</v>
      </c>
      <c r="B8" s="18">
        <v>2056000000</v>
      </c>
      <c r="C8" s="18">
        <v>2401000000</v>
      </c>
      <c r="D8" s="18">
        <v>2369000000</v>
      </c>
      <c r="E8" s="18">
        <v>1707000000</v>
      </c>
      <c r="F8" s="8" t="s">
        <v>90</v>
      </c>
    </row>
    <row r="9" spans="1:6" x14ac:dyDescent="0.25">
      <c r="A9" t="s">
        <v>91</v>
      </c>
      <c r="B9" s="18">
        <v>33000000</v>
      </c>
      <c r="C9" s="18">
        <v>-16000000</v>
      </c>
      <c r="D9" s="18">
        <v>187000000</v>
      </c>
      <c r="E9" s="18">
        <v>0</v>
      </c>
      <c r="F9" s="8" t="s">
        <v>92</v>
      </c>
    </row>
    <row r="10" spans="1:6" x14ac:dyDescent="0.25">
      <c r="A10" t="s">
        <v>93</v>
      </c>
      <c r="B10" s="18">
        <v>7540000000</v>
      </c>
      <c r="C10" s="18">
        <v>6688000000</v>
      </c>
      <c r="D10" s="18">
        <v>6159000000</v>
      </c>
      <c r="E10" s="18">
        <v>5519000000</v>
      </c>
      <c r="F10" s="8" t="s">
        <v>94</v>
      </c>
    </row>
    <row r="11" spans="1:6" x14ac:dyDescent="0.25">
      <c r="A11" t="s">
        <v>95</v>
      </c>
      <c r="B11" s="18">
        <v>1734000000</v>
      </c>
      <c r="C11" s="18">
        <v>1860000000</v>
      </c>
      <c r="D11" s="18">
        <v>2279000000</v>
      </c>
      <c r="E11" s="18">
        <v>2461000000</v>
      </c>
      <c r="F11" s="8" t="s">
        <v>96</v>
      </c>
    </row>
    <row r="12" spans="1:6" x14ac:dyDescent="0.25">
      <c r="A12" t="s">
        <v>32</v>
      </c>
      <c r="B12" s="34">
        <v>3258964143</v>
      </c>
      <c r="C12" s="34">
        <v>3255319149</v>
      </c>
      <c r="D12" s="34">
        <v>3277777778</v>
      </c>
      <c r="E12" s="34">
        <v>3350618460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0" ht="22" customHeight="1" spans="1:6" x14ac:dyDescent="0.25">
      <c r="A20" s="35" t="s">
        <v>103</v>
      </c>
      <c r="B20" s="35"/>
      <c r="C20" s="35"/>
      <c r="D20" s="35"/>
      <c r="E20" s="35"/>
      <c r="F20" s="35"/>
    </row>
    <row r="22" spans="1:1" x14ac:dyDescent="0.25">
      <c r="A22" s="36" t="s">
        <v>104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