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<sst xmlns="http://schemas.openxmlformats.org/spreadsheetml/2006/main" count="70" uniqueCount="67">
  <si>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State Street Corporation (STT)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</si>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</sst>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1.28006</v>
      </c>
    </row>
    <row r="9" spans="1:2" x14ac:dyDescent="0.25">
      <c r="A9" t="s">
        <v>8</v>
      </c>
      <c r="B9" s="8">
        <f>B6+B8*B7</f>
        <v>0.103086538</v>
      </c>
    </row>
    <row r="10" spans="1:2" x14ac:dyDescent="0.25">
      <c r="A10" t="s">
        <v>9</v>
      </c>
      <c r="B10" s="8">
        <f>MEDIAN('Source data'!B9:E9)</f>
        <v>0.113779040461898</v>
      </c>
    </row>
    <row r="11" spans="1:2" x14ac:dyDescent="0.25">
      <c r="A11" t="s">
        <v>10</v>
      </c>
      <c r="B11" s="8">
        <f>IFERROR(MIN(MAX(MEDIAN('Source data'!B10:E10),0),1),0)</f>
        <v>0.41602899718082964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24282000000</v>
      </c>
    </row>
    <row r="15" spans="1:2" x14ac:dyDescent="0.25">
      <c r="A15" t="s">
        <v>14</v>
      </c>
      <c r="B15" s="10">
        <f>'Source data'!B8</f>
        <v>289019000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0.06644366035833754</v>
      </c>
    </row>
    <row r="18" spans="1:2" x14ac:dyDescent="0.25">
      <c r="A18" t="s">
        <v>17</v>
      </c>
      <c r="B18" s="8">
        <f>MIN(B10,B12)</f>
        <v>0.113779040461898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0.113779040461898</v>
      </c>
      <c r="C22" s="8">
        <f>$B$10+($B$18-$B$10)*C21/$B$16</f>
        <v>0.113779040461898</v>
      </c>
      <c r="D22" s="8">
        <f>$B$10+($B$18-$B$10)*D21/$B$16</f>
        <v>0.113779040461898</v>
      </c>
      <c r="E22" s="8">
        <f>$B$10+($B$18-$B$10)*E21/$B$16</f>
        <v>0.113779040461898</v>
      </c>
      <c r="F22" s="8">
        <f>$B$10+($B$18-$B$10)*F21/$B$16</f>
        <v>0.113779040461898</v>
      </c>
      <c r="G22" s="8">
        <f>$B$10+($B$18-$B$10)*G21/$B$16</f>
        <v>0.113779040461898</v>
      </c>
      <c r="H22" s="8">
        <f>$B$10+($B$18-$B$10)*H21/$B$16</f>
        <v>0.113779040461898</v>
      </c>
      <c r="I22" s="8">
        <f>$B$10+($B$18-$B$10)*I21/$B$16</f>
        <v>0.113779040461898</v>
      </c>
      <c r="J22" s="8">
        <f>$B$10+($B$18-$B$10)*J21/$B$16</f>
        <v>0.113779040461898</v>
      </c>
      <c r="K22" s="8">
        <f>$B$10+($B$18-$B$10)*K21/$B$16</f>
        <v>0.113779040461898</v>
      </c>
    </row>
    <row r="23" spans="1:11" x14ac:dyDescent="0.25">
      <c r="A23" t="s">
        <v>31</v>
      </c>
      <c r="B23" s="8">
        <f>$B$17+($B$13-$B$17)*B21/$B$16</f>
        <v>0.062299294322503786</v>
      </c>
      <c r="C23" s="8">
        <f>$B$17+($B$13-$B$17)*C21/$B$16</f>
        <v>0.05815492828667003</v>
      </c>
      <c r="D23" s="8">
        <f>$B$17+($B$13-$B$17)*D21/$B$16</f>
        <v>0.05401056225083628</v>
      </c>
      <c r="E23" s="8">
        <f>$B$17+($B$13-$B$17)*E21/$B$16</f>
        <v>0.049866196215002524</v>
      </c>
      <c r="F23" s="8">
        <f>$B$17+($B$13-$B$17)*F21/$B$16</f>
        <v>0.04572183017916877</v>
      </c>
      <c r="G23" s="8">
        <f>$B$17+($B$13-$B$17)*G21/$B$16</f>
        <v>0.04157746414333502</v>
      </c>
      <c r="H23" s="8">
        <f>$B$17+($B$13-$B$17)*H21/$B$16</f>
        <v>0.03743309810750127</v>
      </c>
      <c r="I23" s="8">
        <f>$B$17+($B$13-$B$17)*I21/$B$16</f>
        <v>0.03328873207166751</v>
      </c>
      <c r="J23" s="8">
        <f>$B$17+($B$13-$B$17)*J21/$B$16</f>
        <v>0.029144366035833758</v>
      </c>
      <c r="K23" s="8">
        <f>$B$17+($B$13-$B$17)*K21/$B$16</f>
        <v>0.025</v>
      </c>
    </row>
    <row r="24" spans="1:11" x14ac:dyDescent="0.25">
      <c r="A24" t="s">
        <v>32</v>
      </c>
      <c r="B24" s="9">
        <f>$B$14</f>
        <v>24282000000</v>
      </c>
      <c r="C24" s="9">
        <f>B24*(1+B23)</f>
        <v>25794751464.739037</v>
      </c>
      <c r="D24" s="9">
        <f>C24*(1+C23)</f>
        <v>27294843386.34341</v>
      </c>
      <c r="E24" s="9">
        <f>D24*(1+D23)</f>
        <v>28769053224.188343</v>
      </c>
      <c r="F24" s="9">
        <f>E24*(1+E23)</f>
        <v>30203656477.185574</v>
      </c>
      <c r="G24" s="9">
        <f>F24*(1+F23)</f>
        <v>31584622929.425407</v>
      </c>
      <c r="H24" s="9">
        <f>G24*(1+G23)</f>
        <v>32897831456.754353</v>
      </c>
      <c r="I24" s="9">
        <f>H24*(1+H23)</f>
        <v>34129299209.19908</v>
      </c>
      <c r="J24" s="9">
        <f>I24*(1+I23)</f>
        <v>35265420306.36788</v>
      </c>
      <c r="K24" s="9">
        <f>J24*(1+J23)</f>
        <v>36293208624.18419</v>
      </c>
    </row>
    <row r="25" spans="1:11" x14ac:dyDescent="0.25">
      <c r="A25" t="s">
        <v>33</v>
      </c>
      <c r="B25" s="9">
        <f>(B22-$B$9)*B24</f>
        <v>259635344.7798072</v>
      </c>
      <c r="C25" s="9">
        <f>(C22-$B$9)*C24</f>
        <v>275810443.54076916</v>
      </c>
      <c r="D25" s="9">
        <f>(D22-$B$9)*D24</f>
        <v>291850180.1055972</v>
      </c>
      <c r="E25" s="9">
        <f>(E22-$B$9)*E24</f>
        <v>307613172.4261084</v>
      </c>
      <c r="F25" s="9">
        <f>(F22-$B$9)*F24</f>
        <v>322952671.2406282</v>
      </c>
      <c r="G25" s="9">
        <f>(G22-$B$9)*G24</f>
        <v>337718658.4310011</v>
      </c>
      <c r="H25" s="9">
        <f>(H22-$B$9)*H24</f>
        <v>351760143.84245133</v>
      </c>
      <c r="I25" s="9">
        <f>(I22-$B$9)*I24</f>
        <v>364927615.8172146</v>
      </c>
      <c r="J25" s="9">
        <f>(J22-$B$9)*J24</f>
        <v>377075593.44570625</v>
      </c>
      <c r="K25" s="9">
        <f>(K22-$B$9)*K24</f>
        <v>388065222.5642671</v>
      </c>
    </row>
    <row r="26" spans="1:11" x14ac:dyDescent="0.25">
      <c r="A26" t="s">
        <v>34</v>
      </c>
      <c r="B26" s="14">
        <f>1/(1+$B$9)^B21</f>
        <v>0.9065471887755012</v>
      </c>
      <c r="C26" s="14">
        <f>1/(1+$B$9)^C21</f>
        <v>0.8218278054767643</v>
      </c>
      <c r="D26" s="14">
        <f>1/(1+$B$9)^D21</f>
        <v>0.7450256867125001</v>
      </c>
      <c r="E26" s="14">
        <f>1/(1+$B$9)^E21</f>
        <v>0.6754009418547542</v>
      </c>
      <c r="F26" s="14">
        <f>1/(1+$B$9)^F21</f>
        <v>0.6122828251347532</v>
      </c>
      <c r="G26" s="14">
        <f>1/(1+$B$9)^G21</f>
        <v>0.5550632738614323</v>
      </c>
      <c r="H26" s="14">
        <f>1/(1+$B$9)^H21</f>
        <v>0.5031910505116076</v>
      </c>
      <c r="I26" s="14">
        <f>1/(1+$B$9)^I21</f>
        <v>0.45616643225828907</v>
      </c>
      <c r="J26" s="14">
        <f>1/(1+$B$9)^J21</f>
        <v>0.4135363967775021</v>
      </c>
      <c r="K26" s="14">
        <f>1/(1+$B$9)^K21</f>
        <v>0.37489025795499475</v>
      </c>
    </row>
    <row r="27" spans="1:11" x14ac:dyDescent="0.25">
      <c r="A27" s="15" t="s">
        <v>35</v>
      </c>
      <c r="B27" s="16">
        <f>B25*B26</f>
        <v>235371691.91689223</v>
      </c>
      <c r="C27" s="16">
        <f>C25*C26</f>
        <v>226668691.5426833</v>
      </c>
      <c r="D27" s="16">
        <f>D25*D26</f>
        <v>217435880.85033938</v>
      </c>
      <c r="E27" s="16">
        <f>E25*E26</f>
        <v>207762226.38352254</v>
      </c>
      <c r="F27" s="16">
        <f>F25*F26</f>
        <v>197738373.93202698</v>
      </c>
      <c r="G27" s="16">
        <f>G25*G26</f>
        <v>187455224.19280228</v>
      </c>
      <c r="H27" s="16">
        <f>H25*H26</f>
        <v>177002556.3081973</v>
      </c>
      <c r="I27" s="16">
        <f>I25*I26</f>
        <v>166467728.53986236</v>
      </c>
      <c r="J27" s="16">
        <f>J25*J26</f>
        <v>155934482.22627565</v>
      </c>
      <c r="K27" s="16">
        <f>K25*K26</f>
        <v>145481871.39048055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24282000000</v>
      </c>
    </row>
    <row r="31" spans="1:2" x14ac:dyDescent="0.25">
      <c r="A31" t="s">
        <v>38</v>
      </c>
      <c r="B31" s="9">
        <f>SUM(B27:K27)</f>
        <v>1917318727.2830825</v>
      </c>
    </row>
    <row r="32" spans="1:2" x14ac:dyDescent="0.25">
      <c r="A32" t="s">
        <v>39</v>
      </c>
      <c r="B32" s="9">
        <f>K24*(1+K23)</f>
        <v>37200538839.78879</v>
      </c>
    </row>
    <row r="33" spans="1:2" x14ac:dyDescent="0.25">
      <c r="A33" t="s">
        <v>40</v>
      </c>
      <c r="B33" s="9">
        <f>(B18-B9)*B32</f>
        <v>397766853.1283738</v>
      </c>
    </row>
    <row r="34" spans="1:2" x14ac:dyDescent="0.25">
      <c r="A34" t="s">
        <v>41</v>
      </c>
      <c r="B34" s="9">
        <f>B33/(B9-B13)</f>
        <v>5093923527.873316</v>
      </c>
    </row>
    <row r="35" spans="1:2" x14ac:dyDescent="0.25">
      <c r="A35" t="s">
        <v>42</v>
      </c>
      <c r="B35" s="9">
        <f>B34*K26</f>
        <v>1909662305.3674445</v>
      </c>
    </row>
    <row r="36" spans="1:2" x14ac:dyDescent="0.25">
      <c r="A36" s="15" t="s">
        <v>43</v>
      </c>
      <c r="B36" s="16">
        <f>B30+B31+B35</f>
        <v>28108981032.650524</v>
      </c>
    </row>
    <row r="37" spans="1:2" x14ac:dyDescent="0.25">
      <c r="A37" s="15" t="s">
        <v>44</v>
      </c>
      <c r="B37" s="17">
        <f>B36/B15</f>
        <v>97.25651612056828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169.77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97.25651612056828</v>
      </c>
    </row>
    <row r="43" spans="1:2" x14ac:dyDescent="0.25">
      <c r="A43" s="15" t="s">
        <v>48</v>
      </c>
      <c r="B43" s="21">
        <f>B42/B40-1</f>
        <v>-0.42712778393963435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2717000000</v>
      </c>
      <c r="C5" s="9">
        <v>2483000000</v>
      </c>
      <c r="D5" s="9">
        <v>1821000000</v>
      </c>
      <c r="E5" s="9">
        <v>2660000000</v>
      </c>
      <c r="F5" s="6" t="s">
        <v>57</v>
      </c>
    </row>
    <row r="6" spans="1:6" x14ac:dyDescent="0.25">
      <c r="A6" t="s">
        <v>37</v>
      </c>
      <c r="B6" s="9">
        <v>24282000000</v>
      </c>
      <c r="C6" s="9">
        <v>22510000000</v>
      </c>
      <c r="D6" s="9">
        <v>21823000000</v>
      </c>
      <c r="E6" s="9">
        <v>23215000000</v>
      </c>
      <c r="F6" s="6" t="s">
        <v>58</v>
      </c>
    </row>
    <row r="7" spans="1:6" x14ac:dyDescent="0.25">
      <c r="A7" t="s">
        <v>59</v>
      </c>
      <c r="B7" s="9">
        <v>1120000000</v>
      </c>
      <c r="C7" s="9">
        <v>1033000000</v>
      </c>
      <c r="D7" s="9">
        <v>970000000</v>
      </c>
      <c r="E7" s="9">
        <v>972000000</v>
      </c>
      <c r="F7" s="6" t="s">
        <v>60</v>
      </c>
    </row>
    <row r="8" spans="1:6" x14ac:dyDescent="0.25">
      <c r="A8" t="s">
        <v>14</v>
      </c>
      <c r="B8" s="10">
        <v>289019000</v>
      </c>
      <c r="C8" s="10">
        <v>302226000</v>
      </c>
      <c r="D8" s="10">
        <v>326568000</v>
      </c>
      <c r="E8" s="10">
        <v>370109000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0.12070191026210574</v>
      </c>
      <c r="C9" s="8">
        <f>IF(AND(ISNUMBER(C5),N(D6)&gt;0),C5/D6,"")</f>
        <v>0.113779040461898</v>
      </c>
      <c r="D9" s="8">
        <f>IF(AND(ISNUMBER(D5),N(E6)&gt;0),D5/E6,"")</f>
        <v>0.07844066336420417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0.41221935958778066</v>
      </c>
      <c r="C10" s="8">
        <f>IF(AND(ISNUMBER(C9),N(C5)&gt;0,ISNUMBER(C7)),C7/C5,"")</f>
        <v>0.41602899718082964</v>
      </c>
      <c r="D10" s="8">
        <f>IF(AND(ISNUMBER(D9),N(D5)&gt;0,ISNUMBER(D7)),D7/D5,"")</f>
        <v>0.5326743547501372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