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<sst xmlns="http://schemas.openxmlformats.org/spreadsheetml/2006/main" count="113" uniqueCount="101">
  <si>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State Street Corporation (STT)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</si>
  <si>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</si>
  <si>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</si>
  <si>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</si>
  <si>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</si>
  <si>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</si>
  <si>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</si>
  <si>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</si>
  <si>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</si>
  <si>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</si>
  <si>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</si>
  <si>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</si>
  <si>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</si>
  <si>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</si>
  <si>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</si>
  <si>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</si>
  <si>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</si>
  <si>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</si>
  <si>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</si>
  <si>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</si>
  <si>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</si>
  <si>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</si>
  <si>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28.0%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</si>
  <si>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</si>
  <si>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</si>
  <si>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</si>
  <si>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</si>
  <si>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</si>
  <si>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</si>
  <si>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</si>
  <si>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</si>
  <si>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</si>
  <si>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</si>
  <si>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</si>
  <si>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</si>
  <si>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</si>
  <si>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</si>
  <si>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</si>
  <si>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</si>
  <si>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</si>
  <si>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</si>
  <si>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</si>
  <si>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</si>
  <si>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</si>
  <si>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</si>
  <si>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</si>
  <si>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</si>
  <si>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</si>
  <si>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</si>
  <si>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</si>
  <si>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</si>
  <si>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</si>
  <si>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</si>
  <si>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</si>
  <si>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</si>
  <si>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</si>
  <si>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</si>
  <si>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</si>
  <si>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</si>
  <si>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</si>
  <si>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</si>
  <si>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</si>
  <si>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</si>
  <si>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</si>
  <si>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</si>
  <si>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</si>
  <si>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</si>
  <si>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</si>
  <si>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</si>
  <si>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</si>
  <si>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</si>
  <si>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</si>
  <si>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</si>
  <si>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</si>
  <si>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</si>
  <si>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</si>
  <si>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</si>
  <si>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</si>
  <si>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</si>
  <si>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</si>
  <si>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</si>
  <si>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</si>
  <si>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</si>
  <si>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</si>
  <si>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</si>
  <si>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</si>
  <si>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</si>
  <si>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</si>
  <si>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</si>
  <si>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</si>
  <si>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</si>
  <si>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</si>
  <si>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</si>
  <si>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</si>
  <si>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</si>
  <si>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</si>
  <si>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</si>
  <si>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</si>
  <si>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</si>
  <si>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 usable EV/EBITDA (EBITDA is not positive), so the exit multiple falls back to 8x.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</si>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</sst>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0.04822150244182688</v>
      </c>
    </row>
    <row r="7" spans="1:2" x14ac:dyDescent="0.25">
      <c r="A7" t="s">
        <v>5</v>
      </c>
      <c r="B7" s="6">
        <v>0.24955989160757025</v>
      </c>
    </row>
    <row r="8" spans="1:2" x14ac:dyDescent="0.25">
      <c r="A8" t="s">
        <v>6</v>
      </c>
      <c r="B8" s="6">
        <v>0.18737889176475067</v>
      </c>
    </row>
    <row r="9" spans="1:2" x14ac:dyDescent="0.25">
      <c r="A9" t="s">
        <v>7</v>
      </c>
      <c r="B9" s="6">
        <v>0.06391987185219317</v>
      </c>
    </row>
    <row r="10" spans="1:2" x14ac:dyDescent="0.25">
      <c r="A10" t="s">
        <v>8</v>
      </c>
      <c r="B10" s="6">
        <v>0.06901814161926126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0.09715464338385808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1.28006</v>
      </c>
      <c r="C19" s="8" t="s">
        <v>19</v>
      </c>
    </row>
    <row r="20" spans="1:2" x14ac:dyDescent="0.25">
      <c r="A20" t="s">
        <v>20</v>
      </c>
      <c r="B20" s="10">
        <f>B17+B19*B18</f>
        <v>0.1203833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50234707968</v>
      </c>
    </row>
    <row r="23" spans="1:2" x14ac:dyDescent="0.25">
      <c r="A23" t="s">
        <v>24</v>
      </c>
      <c r="B23" s="11">
        <v>28964000000</v>
      </c>
    </row>
    <row r="24" spans="1:2" x14ac:dyDescent="0.25">
      <c r="A24" t="s">
        <v>25</v>
      </c>
      <c r="B24" s="10">
        <f>B22/(B22+B23)</f>
        <v>0.6342869632203746</v>
      </c>
    </row>
    <row r="25" spans="1:2" x14ac:dyDescent="0.25">
      <c r="A25" t="s">
        <v>26</v>
      </c>
      <c r="B25" s="10">
        <f>1-B24</f>
        <v>0.3657130367796254</v>
      </c>
    </row>
    <row r="26" spans="1:2" x14ac:dyDescent="0.25">
      <c r="A26" t="s">
        <v>27</v>
      </c>
      <c r="B26" s="12">
        <f>B24*B20+B25*B21*(1-B8)</f>
        <v>0.09715464338385808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13965000000</v>
      </c>
      <c r="C29" s="8" t="s">
        <v>30</v>
      </c>
    </row>
    <row r="30" spans="1:2" x14ac:dyDescent="0.25">
      <c r="A30" t="s">
        <v>31</v>
      </c>
      <c r="B30" s="11">
        <v>-102399000000</v>
      </c>
    </row>
    <row r="31" spans="1:2" x14ac:dyDescent="0.25">
      <c r="A31" t="s">
        <v>32</v>
      </c>
      <c r="B31" s="13">
        <v>289019000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0.04822150244182688</v>
      </c>
      <c r="C5" s="10">
        <f>Assumptions!B6</f>
        <v>0.04822150244182688</v>
      </c>
      <c r="D5" s="10">
        <f>Assumptions!B6</f>
        <v>0.04822150244182688</v>
      </c>
      <c r="E5" s="10">
        <f>Assumptions!B6</f>
        <v>0.04822150244182688</v>
      </c>
      <c r="F5" s="10">
        <f>Assumptions!B6</f>
        <v>0.04822150244182688</v>
      </c>
    </row>
    <row r="6" spans="1:6" x14ac:dyDescent="0.25">
      <c r="A6" t="s">
        <v>43</v>
      </c>
      <c r="B6" s="18">
        <f>Assumptions!B29*(1+B5)</f>
        <v>14638413281.600113</v>
      </c>
      <c r="C6" s="18">
        <f>B6*(1+C5)</f>
        <v>15344299563.403263</v>
      </c>
      <c r="D6" s="18">
        <f>C6*(1+D5)</f>
        <v>16084224742.268036</v>
      </c>
      <c r="E6" s="18">
        <f>D6*(1+E5)</f>
        <v>16859830224.952206</v>
      </c>
      <c r="F6" s="18">
        <f>E6*(1+F5)</f>
        <v>17672836569.313526</v>
      </c>
    </row>
    <row r="7" spans="1:6" x14ac:dyDescent="0.25">
      <c r="A7" t="s">
        <v>5</v>
      </c>
      <c r="B7" s="10">
        <f>Assumptions!B7</f>
        <v>0.24955989160757025</v>
      </c>
      <c r="C7" s="10">
        <f>Assumptions!B7</f>
        <v>0.24955989160757025</v>
      </c>
      <c r="D7" s="10">
        <f>Assumptions!B7</f>
        <v>0.24955989160757025</v>
      </c>
      <c r="E7" s="10">
        <f>Assumptions!B7</f>
        <v>0.24955989160757025</v>
      </c>
      <c r="F7" s="10">
        <f>Assumptions!B7</f>
        <v>0.24955989160757025</v>
      </c>
    </row>
    <row r="8" spans="1:6" x14ac:dyDescent="0.25">
      <c r="A8" t="s">
        <v>44</v>
      </c>
      <c r="B8" s="18">
        <f>B6*B7</f>
        <v>3653160831.862941</v>
      </c>
      <c r="C8" s="18">
        <f>C6*C7</f>
        <v>3829321735.8370056</v>
      </c>
      <c r="D8" s="18">
        <f>D6*D7</f>
        <v>4013977383.2722106</v>
      </c>
      <c r="E8" s="18">
        <f>E6*E7</f>
        <v>4207537403.461109</v>
      </c>
      <c r="F8" s="18">
        <f>F6*F7</f>
        <v>4410431178.636188</v>
      </c>
    </row>
    <row r="9" spans="1:6" x14ac:dyDescent="0.25">
      <c r="A9" t="s">
        <v>45</v>
      </c>
      <c r="B9" s="18">
        <f>B8*(1-Assumptions!B8)</f>
        <v>2968635603.750068</v>
      </c>
      <c r="C9" s="18">
        <f>C8*(1-Assumptions!B8)</f>
        <v>3111787672.7651963</v>
      </c>
      <c r="D9" s="18">
        <f>D8*(1-Assumptions!B8)</f>
        <v>3261842749.6258903</v>
      </c>
      <c r="E9" s="18">
        <f>E8*(1-Assumptions!B8)</f>
        <v>3419133707.74183</v>
      </c>
      <c r="F9" s="18">
        <f>F8*(1-Assumptions!B8)</f>
        <v>3584009472.1786356</v>
      </c>
    </row>
    <row r="10" spans="1:6" x14ac:dyDescent="0.25">
      <c r="A10" t="s">
        <v>46</v>
      </c>
      <c r="B10" s="18">
        <f>B6*Assumptions!B9</f>
        <v>935685501.0793216</v>
      </c>
      <c r="C10" s="18">
        <f>C6*Assumptions!B9</f>
        <v>980805661.7544001</v>
      </c>
      <c r="D10" s="18">
        <f>D6*Assumptions!B9</f>
        <v>1028101584.3676475</v>
      </c>
      <c r="E10" s="18">
        <f>E6*Assumptions!B9</f>
        <v>1077678187.428678</v>
      </c>
      <c r="F10" s="18">
        <f>F6*Assumptions!B9</f>
        <v>1129645448.7752738</v>
      </c>
    </row>
    <row r="11" spans="1:6" x14ac:dyDescent="0.25">
      <c r="A11" t="s">
        <v>47</v>
      </c>
      <c r="B11" s="18">
        <f>-B6*Assumptions!B10</f>
        <v>-1010316080.9507515</v>
      </c>
      <c r="C11" s="18">
        <f>-C6*Assumptions!B10</f>
        <v>-1059035040.3153352</v>
      </c>
      <c r="D11" s="18">
        <f>-D6*Assumptions!B10</f>
        <v>-1110103301.0978813</v>
      </c>
      <c r="E11" s="18">
        <f>-E6*Assumptions!B10</f>
        <v>-1163634150.1424527</v>
      </c>
      <c r="F11" s="18">
        <f>-F6*Assumptions!B10</f>
        <v>-1219746337.1549401</v>
      </c>
    </row>
    <row r="12" spans="1:6" x14ac:dyDescent="0.25">
      <c r="A12" t="s">
        <v>48</v>
      </c>
      <c r="B12" s="18">
        <f>-(B6-Assumptions!B29)*Assumptions!B11</f>
        <v>673413281.6001129</v>
      </c>
      <c r="C12" s="18">
        <f>-(C6-B6)*Assumptions!B11</f>
        <v>705886281.8031502</v>
      </c>
      <c r="D12" s="18">
        <f>-(D6-C6)*Assumptions!B11</f>
        <v>739925178.8647728</v>
      </c>
      <c r="E12" s="18">
        <f>-(E6-D6)*Assumptions!B11</f>
        <v>775605482.6841698</v>
      </c>
      <c r="F12" s="18">
        <f>-(F6-E6)*Assumptions!B11</f>
        <v>813006344.3613205</v>
      </c>
    </row>
    <row r="13" spans="1:6" x14ac:dyDescent="0.25">
      <c r="A13" s="19" t="s">
        <v>49</v>
      </c>
      <c r="B13" s="20">
        <f>B9+B10+B11+B12</f>
        <v>3567418305.478751</v>
      </c>
      <c r="C13" s="20">
        <f>C9+C10+C11+C12</f>
        <v>3739444576.0074115</v>
      </c>
      <c r="D13" s="20">
        <f>D9+D10+D11+D12</f>
        <v>3919766211.7604294</v>
      </c>
      <c r="E13" s="20">
        <f>E9+E10+E11+E12</f>
        <v>4108783227.7122245</v>
      </c>
      <c r="F13" s="20">
        <f>F9+F10+F11+F12</f>
        <v>4306914928.16029</v>
      </c>
    </row>
    <row r="14" spans="1:6" x14ac:dyDescent="0.25">
      <c r="A14" t="s">
        <v>50</v>
      </c>
      <c r="B14" s="21">
        <f>1/(1+Assumptions!$B$26)^(1-0.5*Assumptions!$B$32)</f>
        <v>0.9546981417938509</v>
      </c>
      <c r="C14" s="21">
        <f>1/(1+Assumptions!$B$26)^(2-0.5*Assumptions!$B$32)</f>
        <v>0.8701582293352548</v>
      </c>
      <c r="D14" s="21">
        <f>1/(1+Assumptions!$B$26)^(3-0.5*Assumptions!$B$32)</f>
        <v>0.7931044493887405</v>
      </c>
      <c r="E14" s="21">
        <f>1/(1+Assumptions!$B$26)^(4-0.5*Assumptions!$B$32)</f>
        <v>0.7228738940051677</v>
      </c>
      <c r="F14" s="21">
        <f>1/(1+Assumptions!$B$26)^(5-0.5*Assumptions!$B$32)</f>
        <v>0.6588623567008484</v>
      </c>
    </row>
    <row r="15" spans="1:6" x14ac:dyDescent="0.25">
      <c r="A15" s="19" t="s">
        <v>51</v>
      </c>
      <c r="B15" s="20">
        <f>B13*B14</f>
        <v>3405807627.2419324</v>
      </c>
      <c r="C15" s="20">
        <f>C13*C14</f>
        <v>3253908470.9559317</v>
      </c>
      <c r="D15" s="20">
        <f>D13*D14</f>
        <v>3108784023.1108446</v>
      </c>
      <c r="E15" s="20">
        <f>E13*E14</f>
        <v>2970132131.4394574</v>
      </c>
      <c r="F15" s="20">
        <f>F13*F14</f>
        <v>2837664119.6777534</v>
      </c>
    </row>
    <row r="17" spans="1:2" x14ac:dyDescent="0.25">
      <c r="A17" s="22" t="s">
        <v>52</v>
      </c>
      <c r="B17" s="23">
        <f>SUM(B15:F15)</f>
        <v>15576296372.425919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4306914928.16029</v>
      </c>
    </row>
    <row r="5" spans="1:2" x14ac:dyDescent="0.25">
      <c r="A5" t="s">
        <v>56</v>
      </c>
      <c r="B5" s="18">
        <f>IF(Assumptions!$B$33=0,B4,B4-Forecast!F11-Forecast!F10-Forecast!F12)</f>
        <v>3847571885.3832417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0.2573217206019169</v>
      </c>
    </row>
    <row r="7" spans="1:2" x14ac:dyDescent="0.25">
      <c r="A7" t="s">
        <v>58</v>
      </c>
      <c r="B7" s="18">
        <f>-MAX(Forecast!F9,0)*B6</f>
        <v>-990063817.686377</v>
      </c>
    </row>
    <row r="8" spans="1:2" x14ac:dyDescent="0.25">
      <c r="A8" t="s">
        <v>59</v>
      </c>
      <c r="B8" s="18">
        <f>IF(OR(Assumptions!$B$33=0,Assumptions!B12&lt;=0),B5,MAX(B5+B7,0))</f>
        <v>2857508067.6968646</v>
      </c>
    </row>
    <row r="9" spans="1:2" x14ac:dyDescent="0.25">
      <c r="A9" t="s">
        <v>60</v>
      </c>
      <c r="B9" s="18">
        <f>B8*(1+Assumptions!B12)/(Assumptions!B26-Assumptions!B12)</f>
        <v>40592616525.14146</v>
      </c>
    </row>
    <row r="10" spans="1:2" x14ac:dyDescent="0.25">
      <c r="A10" t="s">
        <v>61</v>
      </c>
      <c r="B10" s="18">
        <f>B9/(1+Assumptions!B26)^(5-0.5*Assumptions!B32)</f>
        <v>26744946988.4085</v>
      </c>
    </row>
    <row r="11" spans="1:2" x14ac:dyDescent="0.25">
      <c r="A11" t="s">
        <v>62</v>
      </c>
      <c r="B11" s="18">
        <f>Forecast!B17+B10</f>
        <v>42321243360.83442</v>
      </c>
    </row>
    <row r="12" spans="1:2" x14ac:dyDescent="0.25">
      <c r="A12" t="s">
        <v>63</v>
      </c>
      <c r="B12" s="18">
        <f>-Assumptions!B30</f>
        <v>102399000000</v>
      </c>
    </row>
    <row r="13" spans="1:2" x14ac:dyDescent="0.25">
      <c r="A13" t="s">
        <v>64</v>
      </c>
      <c r="B13" s="18">
        <f>B11+B12</f>
        <v>144720243360.8344</v>
      </c>
    </row>
    <row r="14" spans="1:2" x14ac:dyDescent="0.25">
      <c r="A14" s="19" t="s">
        <v>65</v>
      </c>
      <c r="B14" s="24">
        <f>B13/Assumptions!B31</f>
        <v>500.72916784306364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5540076627.411461</v>
      </c>
    </row>
    <row r="18" spans="1:2" x14ac:dyDescent="0.25">
      <c r="A18" t="s">
        <v>60</v>
      </c>
      <c r="B18" s="18">
        <f>B17*Assumptions!B13</f>
        <v>44320613019.29169</v>
      </c>
    </row>
    <row r="19" spans="1:2" x14ac:dyDescent="0.25">
      <c r="A19" t="s">
        <v>61</v>
      </c>
      <c r="B19" s="18">
        <f>B18/(1+Assumptions!B26)^(5-0.5*Assumptions!B32)</f>
        <v>29201183544.316822</v>
      </c>
    </row>
    <row r="20" spans="1:2" x14ac:dyDescent="0.25">
      <c r="A20" t="s">
        <v>62</v>
      </c>
      <c r="B20" s="18">
        <f>Forecast!B17+B19</f>
        <v>44777479916.74274</v>
      </c>
    </row>
    <row r="21" spans="1:2" x14ac:dyDescent="0.25">
      <c r="A21" t="s">
        <v>63</v>
      </c>
      <c r="B21" s="18">
        <f>-Assumptions!B30</f>
        <v>102399000000</v>
      </c>
    </row>
    <row r="22" spans="1:2" x14ac:dyDescent="0.25">
      <c r="A22" t="s">
        <v>64</v>
      </c>
      <c r="B22" s="18">
        <f>B20+B21</f>
        <v>147176479916.74274</v>
      </c>
    </row>
    <row r="23" spans="1:2" x14ac:dyDescent="0.25">
      <c r="A23" s="19" t="s">
        <v>65</v>
      </c>
      <c r="B23" s="25">
        <f>B22/Assumptions!B31</f>
        <v>509.22769754494595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182.87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500.72916784306364</v>
      </c>
    </row>
    <row r="29" spans="1:2" x14ac:dyDescent="0.25">
      <c r="A29" s="19" t="s">
        <v>73</v>
      </c>
      <c r="B29" s="12">
        <f>B28/B26-1</f>
        <v>1.7381701090559614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0.077155</v>
      </c>
      <c r="B5" s="31">
        <v>535.999192886433</v>
      </c>
      <c r="C5" s="31">
        <v>536.6166607644221</v>
      </c>
      <c r="D5" s="31">
        <v>537.2341286424113</v>
      </c>
      <c r="E5" s="31">
        <v>537.8515965204006</v>
      </c>
      <c r="F5" s="31">
        <v>538.4690643983898</v>
      </c>
    </row>
    <row r="6" spans="1:6" x14ac:dyDescent="0.25">
      <c r="A6" s="30">
        <v>0.087155</v>
      </c>
      <c r="B6" s="31">
        <v>515.842944584111</v>
      </c>
      <c r="C6" s="31">
        <v>516.3673008252545</v>
      </c>
      <c r="D6" s="31">
        <v>516.891657066398</v>
      </c>
      <c r="E6" s="31">
        <v>517.4160133075416</v>
      </c>
      <c r="F6" s="31">
        <v>517.9403695486851</v>
      </c>
    </row>
    <row r="7" spans="1:6" x14ac:dyDescent="0.25">
      <c r="A7" s="30">
        <v>0.097155</v>
      </c>
      <c r="B7" s="31">
        <v>499.82585540751546</v>
      </c>
      <c r="C7" s="31">
        <v>500.27725301923283</v>
      </c>
      <c r="D7" s="32">
        <v>500.72865063095026</v>
      </c>
      <c r="E7" s="31">
        <v>501.1800482426675</v>
      </c>
      <c r="F7" s="31">
        <v>501.6314458543849</v>
      </c>
    </row>
    <row r="8" spans="1:6" x14ac:dyDescent="0.25">
      <c r="A8" s="30">
        <v>0.107155</v>
      </c>
      <c r="B8" s="31">
        <v>486.7896848469071</v>
      </c>
      <c r="C8" s="31">
        <v>487.18258300845577</v>
      </c>
      <c r="D8" s="31">
        <v>487.57548117000437</v>
      </c>
      <c r="E8" s="31">
        <v>487.96837933155314</v>
      </c>
      <c r="F8" s="31">
        <v>488.36127749310185</v>
      </c>
    </row>
    <row r="9" spans="1:6" x14ac:dyDescent="0.25">
      <c r="A9" s="30">
        <v>0.117155</v>
      </c>
      <c r="B9" s="31">
        <v>475.97160748030115</v>
      </c>
      <c r="C9" s="31">
        <v>476.3167186957887</v>
      </c>
      <c r="D9" s="31">
        <v>476.6618299112762</v>
      </c>
      <c r="E9" s="31">
        <v>477.0069411267639</v>
      </c>
      <c r="F9" s="31">
        <v>477.3520523422514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13965000000</v>
      </c>
      <c r="C5" s="18">
        <v>12919000000</v>
      </c>
      <c r="D5" s="18">
        <v>11945000000</v>
      </c>
      <c r="E5" s="18">
        <v>12125000000</v>
      </c>
      <c r="F5" s="8" t="s">
        <v>84</v>
      </c>
    </row>
    <row r="6" spans="1:6" x14ac:dyDescent="0.25">
      <c r="A6" t="s">
        <v>44</v>
      </c>
      <c r="B6" s="18">
        <v>3731000000</v>
      </c>
      <c r="C6" s="18">
        <v>3395000000</v>
      </c>
      <c r="D6" s="18">
        <v>2316000000</v>
      </c>
      <c r="E6" s="18">
        <v>3327000000</v>
      </c>
      <c r="F6" s="8" t="s">
        <v>85</v>
      </c>
    </row>
    <row r="7" spans="1:6" x14ac:dyDescent="0.25">
      <c r="A7" t="s">
        <v>86</v>
      </c>
      <c r="B7" s="18">
        <v>554000000</v>
      </c>
      <c r="C7" s="18">
        <v>605000000</v>
      </c>
      <c r="D7" s="18">
        <v>882000000</v>
      </c>
      <c r="E7" s="18">
        <v>1156000000</v>
      </c>
      <c r="F7" s="8" t="s">
        <v>87</v>
      </c>
    </row>
    <row r="8" spans="1:6" x14ac:dyDescent="0.25">
      <c r="A8" t="s">
        <v>88</v>
      </c>
      <c r="B8" s="18">
        <v>1055000000</v>
      </c>
      <c r="C8" s="18">
        <v>926000000</v>
      </c>
      <c r="D8" s="18">
        <v>816000000</v>
      </c>
      <c r="E8" s="18">
        <v>734000000</v>
      </c>
      <c r="F8" s="8" t="s">
        <v>89</v>
      </c>
    </row>
    <row r="9" spans="1:6" x14ac:dyDescent="0.25">
      <c r="A9" t="s">
        <v>90</v>
      </c>
      <c r="B9" s="18">
        <v>-8023000000</v>
      </c>
      <c r="C9" s="18">
        <v>17104000000</v>
      </c>
      <c r="D9" s="18">
        <v>2549000000</v>
      </c>
      <c r="E9" s="18">
        <v>-7626000000</v>
      </c>
      <c r="F9" s="8" t="s">
        <v>91</v>
      </c>
    </row>
    <row r="10" spans="1:6" x14ac:dyDescent="0.25">
      <c r="A10" t="s">
        <v>92</v>
      </c>
      <c r="B10" s="18">
        <v>28964000000</v>
      </c>
      <c r="C10" s="18">
        <v>33112000000</v>
      </c>
      <c r="D10" s="18">
        <v>22499000000</v>
      </c>
      <c r="E10" s="18">
        <v>17093000000</v>
      </c>
      <c r="F10" s="8" t="s">
        <v>93</v>
      </c>
    </row>
    <row r="11" spans="1:6" x14ac:dyDescent="0.25">
      <c r="A11" t="s">
        <v>94</v>
      </c>
      <c r="B11" s="18">
        <v>131363000000</v>
      </c>
      <c r="C11" s="18">
        <v>116102000000</v>
      </c>
      <c r="D11" s="18">
        <v>91712000000</v>
      </c>
      <c r="E11" s="18">
        <v>105625000000</v>
      </c>
      <c r="F11" s="8" t="s">
        <v>95</v>
      </c>
    </row>
    <row r="12" spans="1:6" x14ac:dyDescent="0.25">
      <c r="A12" t="s">
        <v>32</v>
      </c>
      <c r="B12" s="34">
        <v>289019000</v>
      </c>
      <c r="C12" s="34">
        <v>302226000</v>
      </c>
      <c r="D12" s="34">
        <v>326568000</v>
      </c>
      <c r="E12" s="34">
        <v>370109000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2026-09-19T01:04:02Z</dcterms:modified>
</cp:coreProperties>
</file>