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<sst xmlns="http://schemas.openxmlformats.org/spreadsheetml/2006/main" count="113" uniqueCount="101">
  <si>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Seagate Technology Holdings plc (STX)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</si>
  <si>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</si>
  <si>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</si>
  <si>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</si>
  <si>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</si>
  <si>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</si>
  <si>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</si>
  <si>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</si>
  <si>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</si>
  <si>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</si>
  <si>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</si>
  <si>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</si>
  <si>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</si>
  <si>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</si>
  <si>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</si>
  <si>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</si>
  <si>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</si>
  <si>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</si>
  <si>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</si>
  <si>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</si>
  <si>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</si>
  <si>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</si>
  <si>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</si>
  <si>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</si>
  <si>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</si>
  <si>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</si>
  <si>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</si>
  <si>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</si>
  <si>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</si>
  <si>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</si>
  <si>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</si>
  <si>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</si>
  <si>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</si>
  <si>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</si>
  <si>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</si>
  <si>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</si>
  <si>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</si>
  <si>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</si>
  <si>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</si>
  <si>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</si>
  <si>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</si>
  <si>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</si>
  <si>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</si>
  <si>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</si>
  <si>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</si>
  <si>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</si>
  <si>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</si>
  <si>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</si>
  <si>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</si>
  <si>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</si>
  <si>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</si>
  <si>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</si>
  <si>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</si>
  <si>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</si>
  <si>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</si>
  <si>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</si>
  <si>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</si>
  <si>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</si>
  <si>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</si>
  <si>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</si>
  <si>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</si>
  <si>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</si>
  <si>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</si>
  <si>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</si>
  <si>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</si>
  <si>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</si>
  <si>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</si>
  <si>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</si>
  <si>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</si>
  <si>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</si>
  <si>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</si>
  <si>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</si>
  <si>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</si>
  <si>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</si>
  <si>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</si>
  <si>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</si>
  <si>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</si>
  <si>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</si>
  <si>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</si>
  <si>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</si>
  <si>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</si>
  <si>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</si>
  <si>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</si>
  <si>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</si>
  <si>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</si>
  <si>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</si>
  <si>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</si>
  <si>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</si>
  <si>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</si>
  <si>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</si>
  <si>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</si>
  <si>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</si>
  <si>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</si>
  <si>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</si>
  <si>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</si>
  <si>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</si>
  <si>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</si>
  <si>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</si>
  <si>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10.0% of the market price. A gap that size is a modelling failure rather than a view - most often an unusable beta, a currency or units mismatch, or a cashflow base that does not represent the business. Read the figures below as diagnostics, not as a call.</t>
  </si>
  <si>
    <t>Current EV/EBITDA of 43.9x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</si>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</sst>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0.18203419083564842</v>
      </c>
    </row>
    <row r="7" spans="1:2" x14ac:dyDescent="0.25">
      <c r="A7" t="s">
        <v>5</v>
      </c>
      <c r="B7" s="6">
        <v>0.1573969369131946</v>
      </c>
    </row>
    <row r="8" spans="1:2" x14ac:dyDescent="0.25">
      <c r="A8" t="s">
        <v>6</v>
      </c>
      <c r="B8" s="6">
        <v>0.13712737127371274</v>
      </c>
    </row>
    <row r="9" spans="1:2" x14ac:dyDescent="0.25">
      <c r="A9" t="s">
        <v>7</v>
      </c>
      <c r="B9" s="6">
        <v>0.039999367629066876</v>
      </c>
    </row>
    <row r="10" spans="1:2" x14ac:dyDescent="0.25">
      <c r="A10" t="s">
        <v>8</v>
      </c>
      <c r="B10" s="6">
        <v>0.03933922213861174</v>
      </c>
    </row>
    <row r="11" spans="1:2" x14ac:dyDescent="0.25">
      <c r="A11" t="s">
        <v>9</v>
      </c>
      <c r="B11" s="6">
        <v>0.37902592301649646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0.2254276159736556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1.7282900000000003</v>
      </c>
      <c r="C19" s="8" t="s">
        <v>19</v>
      </c>
    </row>
    <row r="20" spans="1:2" x14ac:dyDescent="0.25">
      <c r="A20" t="s">
        <v>20</v>
      </c>
      <c r="B20" s="10">
        <f>B17+B19*B18</f>
        <v>0.14503595000000002</v>
      </c>
    </row>
    <row r="21" spans="1:3" x14ac:dyDescent="0.25">
      <c r="A21" t="s">
        <v>21</v>
      </c>
      <c r="B21" s="6">
        <v>0.06194111232279171</v>
      </c>
      <c r="C21" s="8" t="s">
        <v>22</v>
      </c>
    </row>
    <row r="22" spans="1:2" x14ac:dyDescent="0.25">
      <c r="A22" t="s">
        <v>23</v>
      </c>
      <c r="B22" s="11">
        <v>195282829312</v>
      </c>
    </row>
    <row r="23" spans="1:2" x14ac:dyDescent="0.25">
      <c r="A23" t="s">
        <v>24</v>
      </c>
      <c r="B23" s="11">
        <v>3858000000</v>
      </c>
    </row>
    <row r="24" spans="1:2" x14ac:dyDescent="0.25">
      <c r="A24" t="s">
        <v>25</v>
      </c>
      <c r="B24" s="10">
        <f>B22/(B22+B23)</f>
        <v>0.9806267754667449</v>
      </c>
    </row>
    <row r="25" spans="1:2" x14ac:dyDescent="0.25">
      <c r="A25" t="s">
        <v>26</v>
      </c>
      <c r="B25" s="10">
        <f>1-B24</f>
        <v>0.019373224533255073</v>
      </c>
    </row>
    <row r="26" spans="1:2" x14ac:dyDescent="0.25">
      <c r="A26" t="s">
        <v>27</v>
      </c>
      <c r="B26" s="12">
        <f>B24*B20+B25*B21*(1-B8)</f>
        <v>0.14326158233318317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12195000000</v>
      </c>
      <c r="C29" s="8" t="s">
        <v>30</v>
      </c>
    </row>
    <row r="30" spans="1:2" x14ac:dyDescent="0.25">
      <c r="A30" t="s">
        <v>31</v>
      </c>
      <c r="B30" s="11">
        <v>2154000000</v>
      </c>
    </row>
    <row r="31" spans="1:2" x14ac:dyDescent="0.25">
      <c r="A31" t="s">
        <v>32</v>
      </c>
      <c r="B31" s="13">
        <v>229000000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0.18203419083564842</v>
      </c>
      <c r="C5" s="10">
        <f>Assumptions!B6</f>
        <v>0.18203419083564842</v>
      </c>
      <c r="D5" s="10">
        <f>Assumptions!B6</f>
        <v>0.18203419083564842</v>
      </c>
      <c r="E5" s="10">
        <f>Assumptions!B6</f>
        <v>0.18203419083564842</v>
      </c>
      <c r="F5" s="10">
        <f>Assumptions!B6</f>
        <v>0.18203419083564842</v>
      </c>
    </row>
    <row r="6" spans="1:6" x14ac:dyDescent="0.25">
      <c r="A6" t="s">
        <v>43</v>
      </c>
      <c r="B6" s="18">
        <f>Assumptions!B29*(1+B5)</f>
        <v>14414906957.240732</v>
      </c>
      <c r="C6" s="18">
        <f>B6*(1+C5)</f>
        <v>17038912881.173208</v>
      </c>
      <c r="D6" s="18">
        <f>C6*(1+D5)</f>
        <v>20140577600.21668</v>
      </c>
      <c r="E6" s="18">
        <f>D6*(1+E5)</f>
        <v>23806851346.63471</v>
      </c>
      <c r="F6" s="18">
        <f>E6*(1+F5)</f>
        <v>28140512267.863926</v>
      </c>
    </row>
    <row r="7" spans="1:6" x14ac:dyDescent="0.25">
      <c r="A7" t="s">
        <v>5</v>
      </c>
      <c r="B7" s="10">
        <f>Assumptions!B7</f>
        <v>0.1573969369131946</v>
      </c>
      <c r="C7" s="10">
        <f>Assumptions!B7</f>
        <v>0.1573969369131946</v>
      </c>
      <c r="D7" s="10">
        <f>Assumptions!B7</f>
        <v>0.1573969369131946</v>
      </c>
      <c r="E7" s="10">
        <f>Assumptions!B7</f>
        <v>0.1573969369131946</v>
      </c>
      <c r="F7" s="10">
        <f>Assumptions!B7</f>
        <v>0.1573969369131946</v>
      </c>
    </row>
    <row r="8" spans="1:6" x14ac:dyDescent="0.25">
      <c r="A8" t="s">
        <v>44</v>
      </c>
      <c r="B8" s="18">
        <f>B6*B7</f>
        <v>2268862200.9583893</v>
      </c>
      <c r="C8" s="18">
        <f>C6*C7</f>
        <v>2681872695.8274384</v>
      </c>
      <c r="D8" s="18">
        <f>D6*D7</f>
        <v>3170065221.9366045</v>
      </c>
      <c r="E8" s="18">
        <f>E6*E7</f>
        <v>3747125479.5080647</v>
      </c>
      <c r="F8" s="18">
        <f>F6*F7</f>
        <v>4429230434.129957</v>
      </c>
    </row>
    <row r="9" spans="1:6" x14ac:dyDescent="0.25">
      <c r="A9" t="s">
        <v>45</v>
      </c>
      <c r="B9" s="18">
        <f>B8*(1-Assumptions!B8)</f>
        <v>1957739091.558675</v>
      </c>
      <c r="C9" s="18">
        <f>C8*(1-Assumptions!B8)</f>
        <v>2314114542.957876</v>
      </c>
      <c r="D9" s="18">
        <f>D8*(1-Assumptions!B8)</f>
        <v>2735362511.286219</v>
      </c>
      <c r="E9" s="18">
        <f>E8*(1-Assumptions!B8)</f>
        <v>3233292012.6703734</v>
      </c>
      <c r="F9" s="18">
        <f>F8*(1-Assumptions!B8)</f>
        <v>3821861707.9321904</v>
      </c>
    </row>
    <row r="10" spans="1:6" x14ac:dyDescent="0.25">
      <c r="A10" t="s">
        <v>46</v>
      </c>
      <c r="B10" s="18">
        <f>B6*Assumptions!B9</f>
        <v>576587162.7214658</v>
      </c>
      <c r="C10" s="18">
        <f>C6*Assumptions!B9</f>
        <v>681545740.3336903</v>
      </c>
      <c r="D10" s="18">
        <f>D6*Assumptions!B9</f>
        <v>805610367.6928165</v>
      </c>
      <c r="E10" s="18">
        <f>E6*Assumptions!B9</f>
        <v>952258999.1045876</v>
      </c>
      <c r="F10" s="18">
        <f>F6*Assumptions!B9</f>
        <v>1125602695.4725556</v>
      </c>
    </row>
    <row r="11" spans="1:6" x14ac:dyDescent="0.25">
      <c r="A11" t="s">
        <v>47</v>
      </c>
      <c r="B11" s="18">
        <f>-B6*Assumptions!B10</f>
        <v>-567071226.898313</v>
      </c>
      <c r="C11" s="18">
        <f>-C6*Assumptions!B10</f>
        <v>-670297578.8329258</v>
      </c>
      <c r="D11" s="18">
        <f>-D6*Assumptions!B10</f>
        <v>-792314656.2148716</v>
      </c>
      <c r="E11" s="18">
        <f>-E6*Assumptions!B10</f>
        <v>-936543013.5461708</v>
      </c>
      <c r="F11" s="18">
        <f>-F6*Assumptions!B10</f>
        <v>-1107025863.199828</v>
      </c>
    </row>
    <row r="12" spans="1:6" x14ac:dyDescent="0.25">
      <c r="A12" t="s">
        <v>48</v>
      </c>
      <c r="B12" s="18">
        <f>-(B6-Assumptions!B29)*Assumptions!B11</f>
        <v>-841402283.4789107</v>
      </c>
      <c r="C12" s="18">
        <f>-(C6-B6)*Assumptions!B11</f>
        <v>-994566267.3192613</v>
      </c>
      <c r="D12" s="18">
        <f>-(D6-C6)*Assumptions!B11</f>
        <v>-1175611333.0231535</v>
      </c>
      <c r="E12" s="18">
        <f>-(E6-D6)*Assumptions!B11</f>
        <v>-1389612790.7672422</v>
      </c>
      <c r="F12" s="18">
        <f>-(F6-E6)*Assumptions!B11</f>
        <v>-1642569830.7094245</v>
      </c>
    </row>
    <row r="13" spans="1:6" x14ac:dyDescent="0.25">
      <c r="A13" s="19" t="s">
        <v>49</v>
      </c>
      <c r="B13" s="20">
        <f>B9+B10+B11+B12</f>
        <v>1125852743.9029171</v>
      </c>
      <c r="C13" s="20">
        <f>C9+C10+C11+C12</f>
        <v>1330796437.1393793</v>
      </c>
      <c r="D13" s="20">
        <f>D9+D10+D11+D12</f>
        <v>1573046889.7410104</v>
      </c>
      <c r="E13" s="20">
        <f>E9+E10+E11+E12</f>
        <v>1859395207.461548</v>
      </c>
      <c r="F13" s="20">
        <f>F9+F10+F11+F12</f>
        <v>2197868709.4954934</v>
      </c>
    </row>
    <row r="14" spans="1:6" x14ac:dyDescent="0.25">
      <c r="A14" t="s">
        <v>50</v>
      </c>
      <c r="B14" s="21">
        <f>1/(1+Assumptions!$B$26)^(1-0.5*Assumptions!$B$32)</f>
        <v>0.9352488762716461</v>
      </c>
      <c r="C14" s="21">
        <f>1/(1+Assumptions!$B$26)^(2-0.5*Assumptions!$B$32)</f>
        <v>0.8180532703311678</v>
      </c>
      <c r="D14" s="21">
        <f>1/(1+Assumptions!$B$26)^(3-0.5*Assumptions!$B$32)</f>
        <v>0.7155433917946181</v>
      </c>
      <c r="E14" s="21">
        <f>1/(1+Assumptions!$B$26)^(4-0.5*Assumptions!$B$32)</f>
        <v>0.6258789789247775</v>
      </c>
      <c r="F14" s="21">
        <f>1/(1+Assumptions!$B$26)^(5-0.5*Assumptions!$B$32)</f>
        <v>0.5474503723351533</v>
      </c>
    </row>
    <row r="15" spans="1:6" x14ac:dyDescent="0.25">
      <c r="A15" s="19" t="s">
        <v>51</v>
      </c>
      <c r="B15" s="20">
        <f>B13*B14</f>
        <v>1052952513.5825527</v>
      </c>
      <c r="C15" s="20">
        <f>C13*C14</f>
        <v>1088662377.5469356</v>
      </c>
      <c r="D15" s="20">
        <f>D13*D14</f>
        <v>1125583306.9372573</v>
      </c>
      <c r="E15" s="20">
        <f>E13*E14</f>
        <v>1163756373.8636587</v>
      </c>
      <c r="F15" s="20">
        <f>F13*F14</f>
        <v>1203224043.3570907</v>
      </c>
    </row>
    <row r="17" spans="1:2" x14ac:dyDescent="0.25">
      <c r="A17" s="22" t="s">
        <v>52</v>
      </c>
      <c r="B17" s="23">
        <f>SUM(B15:F15)</f>
        <v>5634178615.287496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2197868709.4954934</v>
      </c>
    </row>
    <row r="5" spans="1:2" x14ac:dyDescent="0.25">
      <c r="A5" t="s">
        <v>56</v>
      </c>
      <c r="B5" s="18">
        <f>IF(Assumptions!$B$33=0,B4,B4-Forecast!F11-Forecast!F10-Forecast!F12)</f>
        <v>3821861707.9321904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0.11090034329654448</v>
      </c>
    </row>
    <row r="7" spans="1:2" x14ac:dyDescent="0.25">
      <c r="A7" t="s">
        <v>58</v>
      </c>
      <c r="B7" s="18">
        <f>-MAX(Forecast!F9,0)*B6</f>
        <v>-423845775.44159776</v>
      </c>
    </row>
    <row r="8" spans="1:2" x14ac:dyDescent="0.25">
      <c r="A8" t="s">
        <v>59</v>
      </c>
      <c r="B8" s="18">
        <f>IF(OR(Assumptions!$B$33=0,Assumptions!B12&lt;=0),B5,MAX(B5+B7,0))</f>
        <v>3398015932.4905925</v>
      </c>
    </row>
    <row r="9" spans="1:2" x14ac:dyDescent="0.25">
      <c r="A9" t="s">
        <v>60</v>
      </c>
      <c r="B9" s="18">
        <f>B8*(1+Assumptions!B12)/(Assumptions!B26-Assumptions!B12)</f>
        <v>29451376026.66396</v>
      </c>
    </row>
    <row r="10" spans="1:2" x14ac:dyDescent="0.25">
      <c r="A10" t="s">
        <v>61</v>
      </c>
      <c r="B10" s="18">
        <f>B9/(1+Assumptions!B26)^(5-0.5*Assumptions!B32)</f>
        <v>16123166771.579792</v>
      </c>
    </row>
    <row r="11" spans="1:2" x14ac:dyDescent="0.25">
      <c r="A11" t="s">
        <v>62</v>
      </c>
      <c r="B11" s="18">
        <f>Forecast!B17+B10</f>
        <v>21757345386.867287</v>
      </c>
    </row>
    <row r="12" spans="1:2" x14ac:dyDescent="0.25">
      <c r="A12" t="s">
        <v>63</v>
      </c>
      <c r="B12" s="18">
        <f>-Assumptions!B30</f>
        <v>-2154000000</v>
      </c>
    </row>
    <row r="13" spans="1:2" x14ac:dyDescent="0.25">
      <c r="A13" t="s">
        <v>64</v>
      </c>
      <c r="B13" s="18">
        <f>B11+B12</f>
        <v>19603345386.867287</v>
      </c>
    </row>
    <row r="14" spans="1:2" x14ac:dyDescent="0.25">
      <c r="A14" s="19" t="s">
        <v>65</v>
      </c>
      <c r="B14" s="24">
        <f>B13/Assumptions!B31</f>
        <v>85.60412832693139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5554833129.602512</v>
      </c>
    </row>
    <row r="18" spans="1:2" x14ac:dyDescent="0.25">
      <c r="A18" t="s">
        <v>60</v>
      </c>
      <c r="B18" s="18">
        <f>B17*Assumptions!B13</f>
        <v>111096662592.05025</v>
      </c>
    </row>
    <row r="19" spans="1:2" x14ac:dyDescent="0.25">
      <c r="A19" t="s">
        <v>61</v>
      </c>
      <c r="B19" s="18">
        <f>B18/(1+Assumptions!B26)^(5-0.5*Assumptions!B32)</f>
        <v>60819909301.2108</v>
      </c>
    </row>
    <row r="20" spans="1:2" x14ac:dyDescent="0.25">
      <c r="A20" t="s">
        <v>62</v>
      </c>
      <c r="B20" s="18">
        <f>Forecast!B17+B19</f>
        <v>66454087916.4983</v>
      </c>
    </row>
    <row r="21" spans="1:2" x14ac:dyDescent="0.25">
      <c r="A21" t="s">
        <v>63</v>
      </c>
      <c r="B21" s="18">
        <f>-Assumptions!B30</f>
        <v>-2154000000</v>
      </c>
    </row>
    <row r="22" spans="1:2" x14ac:dyDescent="0.25">
      <c r="A22" t="s">
        <v>64</v>
      </c>
      <c r="B22" s="18">
        <f>B20+B21</f>
        <v>64300087916.4983</v>
      </c>
    </row>
    <row r="23" spans="1:2" x14ac:dyDescent="0.25">
      <c r="A23" s="19" t="s">
        <v>65</v>
      </c>
      <c r="B23" s="25">
        <f>B22/Assumptions!B31</f>
        <v>280.78641011571307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858.79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85.60412832693139</v>
      </c>
    </row>
    <row r="29" spans="1:2" x14ac:dyDescent="0.25">
      <c r="A29" s="19" t="s">
        <v>73</v>
      </c>
      <c r="B29" s="12">
        <f>B28/B26-1</f>
        <v>-0.9003200685535098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0.123262</v>
      </c>
      <c r="B5" s="31">
        <v>102.91396437880402</v>
      </c>
      <c r="C5" s="31">
        <v>105.38556414898761</v>
      </c>
      <c r="D5" s="31">
        <v>108.08636740489462</v>
      </c>
      <c r="E5" s="31">
        <v>111.05323859598842</v>
      </c>
      <c r="F5" s="31">
        <v>114.33139558531084</v>
      </c>
    </row>
    <row r="6" spans="1:6" x14ac:dyDescent="0.25">
      <c r="A6" s="30">
        <v>0.133262</v>
      </c>
      <c r="B6" s="31">
        <v>91.91021148879003</v>
      </c>
      <c r="C6" s="31">
        <v>93.76497253444325</v>
      </c>
      <c r="D6" s="31">
        <v>95.7715817870618</v>
      </c>
      <c r="E6" s="31">
        <v>97.95209695523627</v>
      </c>
      <c r="F6" s="31">
        <v>100.33306531800982</v>
      </c>
    </row>
    <row r="7" spans="1:6" x14ac:dyDescent="0.25">
      <c r="A7" s="30">
        <v>0.143262</v>
      </c>
      <c r="B7" s="31">
        <v>82.68846793941078</v>
      </c>
      <c r="C7" s="31">
        <v>84.09519711974268</v>
      </c>
      <c r="D7" s="32">
        <v>85.60374085344407</v>
      </c>
      <c r="E7" s="31">
        <v>87.22758308306008</v>
      </c>
      <c r="F7" s="31">
        <v>88.98269873459165</v>
      </c>
    </row>
    <row r="8" spans="1:6" x14ac:dyDescent="0.25">
      <c r="A8" s="30">
        <v>0.153262</v>
      </c>
      <c r="B8" s="31">
        <v>74.85882288011909</v>
      </c>
      <c r="C8" s="31">
        <v>75.9338728727571</v>
      </c>
      <c r="D8" s="31">
        <v>77.077547111733</v>
      </c>
      <c r="E8" s="31">
        <v>78.29819661921964</v>
      </c>
      <c r="F8" s="31">
        <v>79.60558470911036</v>
      </c>
    </row>
    <row r="9" spans="1:6" x14ac:dyDescent="0.25">
      <c r="A9" s="30">
        <v>0.163262</v>
      </c>
      <c r="B9" s="31">
        <v>68.13674679596168</v>
      </c>
      <c r="C9" s="31">
        <v>68.9623294265468</v>
      </c>
      <c r="D9" s="31">
        <v>69.83406692583192</v>
      </c>
      <c r="E9" s="31">
        <v>70.75715449597898</v>
      </c>
      <c r="F9" s="31">
        <v>71.73759743133022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12195000000</v>
      </c>
      <c r="C5" s="18">
        <v>9097000000</v>
      </c>
      <c r="D5" s="18">
        <v>6551000000</v>
      </c>
      <c r="E5" s="18">
        <v>7384000000</v>
      </c>
      <c r="F5" s="8" t="s">
        <v>84</v>
      </c>
    </row>
    <row r="6" spans="1:6" x14ac:dyDescent="0.25">
      <c r="A6" t="s">
        <v>44</v>
      </c>
      <c r="B6" s="18">
        <v>4226000000</v>
      </c>
      <c r="C6" s="18">
        <v>1915000000</v>
      </c>
      <c r="D6" s="18">
        <v>422000000</v>
      </c>
      <c r="E6" s="18">
        <v>60000000</v>
      </c>
      <c r="F6" s="8" t="s">
        <v>85</v>
      </c>
    </row>
    <row r="7" spans="1:6" x14ac:dyDescent="0.25">
      <c r="A7" t="s">
        <v>86</v>
      </c>
      <c r="B7" s="18">
        <v>276000000</v>
      </c>
      <c r="C7" s="18">
        <v>251000000</v>
      </c>
      <c r="D7" s="18">
        <v>264000000</v>
      </c>
      <c r="E7" s="18">
        <v>513000000</v>
      </c>
      <c r="F7" s="8" t="s">
        <v>87</v>
      </c>
    </row>
    <row r="8" spans="1:6" x14ac:dyDescent="0.25">
      <c r="A8" t="s">
        <v>88</v>
      </c>
      <c r="B8" s="18">
        <v>569000000</v>
      </c>
      <c r="C8" s="18">
        <v>265000000</v>
      </c>
      <c r="D8" s="18">
        <v>254000000</v>
      </c>
      <c r="E8" s="18">
        <v>316000000</v>
      </c>
      <c r="F8" s="8" t="s">
        <v>89</v>
      </c>
    </row>
    <row r="9" spans="1:6" x14ac:dyDescent="0.25">
      <c r="A9" t="s">
        <v>90</v>
      </c>
      <c r="B9" s="18">
        <v>159000000</v>
      </c>
      <c r="C9" s="18">
        <v>965000000</v>
      </c>
      <c r="D9" s="18">
        <v>-386000000</v>
      </c>
      <c r="E9" s="18">
        <v>-1162000000</v>
      </c>
      <c r="F9" s="8" t="s">
        <v>91</v>
      </c>
    </row>
    <row r="10" spans="1:6" x14ac:dyDescent="0.25">
      <c r="A10" t="s">
        <v>92</v>
      </c>
      <c r="B10" s="18">
        <v>3858000000</v>
      </c>
      <c r="C10" s="18">
        <v>5312000000</v>
      </c>
      <c r="D10" s="18">
        <v>5674000000</v>
      </c>
      <c r="E10" s="18">
        <v>5451000000</v>
      </c>
      <c r="F10" s="8" t="s">
        <v>93</v>
      </c>
    </row>
    <row r="11" spans="1:6" x14ac:dyDescent="0.25">
      <c r="A11" t="s">
        <v>94</v>
      </c>
      <c r="B11" s="18">
        <v>1704000000</v>
      </c>
      <c r="C11" s="18">
        <v>891000000</v>
      </c>
      <c r="D11" s="18">
        <v>1358000000</v>
      </c>
      <c r="E11" s="18">
        <v>786000000</v>
      </c>
      <c r="F11" s="8" t="s">
        <v>95</v>
      </c>
    </row>
    <row r="12" spans="1:6" x14ac:dyDescent="0.25">
      <c r="A12" t="s">
        <v>32</v>
      </c>
      <c r="B12" s="34">
        <v>229000000</v>
      </c>
      <c r="C12" s="34">
        <v>216990235</v>
      </c>
      <c r="D12" s="34">
        <v>211990460</v>
      </c>
      <c r="E12" s="34">
        <v>206990685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2026-09-19T00:06:26Z</dcterms:modified>
</cp:coreProperties>
</file>