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<sst xmlns="http://schemas.openxmlformats.org/spreadsheetml/2006/main" count="120" uniqueCount="107">
  <si>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Seagate Technology Holdings plc (STX)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</si>
  <si>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</si>
  <si>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</si>
  <si>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</si>
  <si>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</si>
  <si>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</si>
  <si>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</si>
  <si>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</si>
  <si>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</si>
  <si>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</si>
  <si>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</si>
  <si>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</si>
  <si>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</si>
  <si>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</si>
  <si>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</si>
  <si>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</si>
  <si>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</si>
  <si>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</si>
  <si>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</si>
  <si>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</si>
  <si>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</si>
  <si>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</si>
  <si>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</si>
  <si>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</si>
  <si>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</si>
  <si>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</si>
  <si>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</si>
  <si>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</si>
  <si>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</si>
  <si>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</si>
  <si>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</si>
  <si>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</si>
  <si>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</si>
  <si>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</si>
  <si>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</si>
  <si>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</si>
  <si>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</si>
  <si>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</si>
  <si>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</si>
  <si>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</si>
  <si>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</si>
  <si>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</si>
  <si>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</si>
  <si>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</si>
  <si>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</si>
  <si>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</si>
  <si>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</si>
  <si>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</si>
  <si>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</si>
  <si>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</si>
  <si>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</si>
  <si>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</si>
  <si>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</si>
  <si>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</si>
  <si>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</si>
  <si>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</si>
  <si>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</si>
  <si>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</si>
  <si>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</si>
  <si>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</si>
  <si>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</si>
  <si>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</si>
  <si>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</si>
  <si>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</si>
  <si>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</si>
  <si>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</si>
  <si>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</si>
  <si>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</si>
  <si>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</si>
  <si>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</si>
  <si>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</si>
  <si>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</si>
  <si>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</si>
  <si>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</si>
  <si>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</si>
  <si>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</si>
  <si>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</si>
  <si>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</si>
  <si>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</si>
  <si>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</si>
  <si>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</si>
  <si>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</si>
  <si>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</si>
  <si>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</si>
  <si>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</si>
  <si>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</si>
  <si>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</si>
  <si>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</si>
  <si>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</si>
  <si>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</si>
  <si>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</si>
  <si>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</si>
  <si>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</si>
  <si>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</si>
  <si>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</si>
  <si>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</si>
  <si>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</si>
  <si>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</si>
  <si>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</si>
  <si>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</si>
  <si>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</si>
  <si>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</si>
  <si>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</si>
  <si>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</si>
  <si>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</si>
  <si>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33.3x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</si>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</sst>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0.1573969369131946</v>
      </c>
    </row>
    <row r="8" spans="1:2" x14ac:dyDescent="0.25">
      <c r="A8" t="s">
        <v>5</v>
      </c>
      <c r="B8" s="5">
        <v>0.13712737127371274</v>
      </c>
    </row>
    <row r="9" spans="1:2" x14ac:dyDescent="0.25">
      <c r="A9" t="s">
        <v>6</v>
      </c>
      <c r="B9" s="5">
        <v>0.039999367629066876</v>
      </c>
    </row>
    <row r="10" spans="1:3" x14ac:dyDescent="0.25">
      <c r="A10" t="s">
        <v>7</v>
      </c>
      <c r="B10" s="5">
        <v>0.03933922213861174</v>
      </c>
      <c r="C10" s="6" t="s">
        <v>8</v>
      </c>
    </row>
    <row r="11" spans="1:2" x14ac:dyDescent="0.25">
      <c r="A11" t="s">
        <v>9</v>
      </c>
      <c r="B11" s="5">
        <v>0.054394532099029946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0.2254276159736556</v>
      </c>
      <c r="C14" s="6" t="s">
        <v>13</v>
      </c>
    </row>
    <row r="15" spans="1:3" x14ac:dyDescent="0.25">
      <c r="A15" t="s">
        <v>14</v>
      </c>
      <c r="B15" s="5">
        <v>0.039999367629066876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1.7242700000000002</v>
      </c>
      <c r="C19" s="6" t="s">
        <v>21</v>
      </c>
    </row>
    <row r="20" spans="1:2" x14ac:dyDescent="0.25">
      <c r="A20" t="s">
        <v>22</v>
      </c>
      <c r="B20" s="9">
        <f>B17+B19*B18</f>
        <v>0.12187662100000002</v>
      </c>
    </row>
    <row r="21" spans="1:3" x14ac:dyDescent="0.25">
      <c r="A21" t="s">
        <v>23</v>
      </c>
      <c r="B21" s="5">
        <v>0.06194111232279171</v>
      </c>
      <c r="C21" s="6" t="s">
        <v>24</v>
      </c>
    </row>
    <row r="22" spans="1:2" x14ac:dyDescent="0.25">
      <c r="A22" t="s">
        <v>25</v>
      </c>
      <c r="B22" s="10">
        <v>147970506752</v>
      </c>
    </row>
    <row r="23" spans="1:2" x14ac:dyDescent="0.25">
      <c r="A23" t="s">
        <v>26</v>
      </c>
      <c r="B23" s="10">
        <v>3858000000</v>
      </c>
    </row>
    <row r="24" spans="1:2" x14ac:dyDescent="0.25">
      <c r="A24" t="s">
        <v>27</v>
      </c>
      <c r="B24" s="9">
        <f>B22/(B22+B23)</f>
        <v>0.974589752066114</v>
      </c>
    </row>
    <row r="25" spans="1:2" x14ac:dyDescent="0.25">
      <c r="A25" t="s">
        <v>28</v>
      </c>
      <c r="B25" s="9">
        <f>1-B24</f>
        <v>0.02541024793388602</v>
      </c>
    </row>
    <row r="26" spans="1:2" x14ac:dyDescent="0.25">
      <c r="A26" t="s">
        <v>29</v>
      </c>
      <c r="B26" s="11">
        <f>B24*B20+B25*B21*(1-B8)</f>
        <v>0.12013781474391574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12195000000</v>
      </c>
      <c r="C29" s="6" t="s">
        <v>32</v>
      </c>
    </row>
    <row r="30" spans="1:2" x14ac:dyDescent="0.25">
      <c r="A30" t="s">
        <v>33</v>
      </c>
      <c r="B30" s="10">
        <v>2154000000</v>
      </c>
    </row>
    <row r="31" spans="1:2" x14ac:dyDescent="0.25">
      <c r="A31" t="s">
        <v>34</v>
      </c>
      <c r="B31" s="12">
        <v>228989695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0.37736238354819873</v>
      </c>
      <c r="D5" s="5">
        <v>0.3333170856046739</v>
      </c>
      <c r="E5" s="5">
        <v>0.289271787661149</v>
      </c>
      <c r="F5" s="5">
        <v>0.24522648971762423</v>
      </c>
      <c r="G5" s="5">
        <v>0.20118119177409938</v>
      </c>
      <c r="H5" s="5">
        <v>0.15713589383057452</v>
      </c>
      <c r="I5" s="5">
        <v>0.11309059588704973</v>
      </c>
      <c r="J5" s="5">
        <v>0.06904529794352487</v>
      </c>
      <c r="K5" s="5">
        <v>0.025000000000000022</v>
      </c>
    </row>
    <row r="6" spans="1:11" x14ac:dyDescent="0.25">
      <c r="A6" t="s">
        <v>50</v>
      </c>
      <c r="B6" s="18">
        <f>Assumptions!B29*(1+B5)</f>
        <v>18292500000</v>
      </c>
      <c r="C6" s="18">
        <f>B6*(1+C5)</f>
        <v>25195401401.055424</v>
      </c>
      <c r="D6" s="18">
        <f>C6*(1+D5)</f>
        <v>33593459166.695133</v>
      </c>
      <c r="E6" s="18">
        <f>D6*(1+E5)</f>
        <v>43311099153.56685</v>
      </c>
      <c r="F6" s="18">
        <f>E6*(1+F5)</f>
        <v>53932127964.808014</v>
      </c>
      <c r="G6" s="18">
        <f>F6*(1+G5)</f>
        <v>64782257743.68132</v>
      </c>
      <c r="H6" s="18">
        <f>G6*(1+H5)</f>
        <v>74961875718.59734</v>
      </c>
      <c r="I6" s="18">
        <f>H6*(1+I5)</f>
        <v>83439358912.42447</v>
      </c>
      <c r="J6" s="18">
        <f>I6*(1+J5)</f>
        <v>89200454308.74953</v>
      </c>
      <c r="K6" s="18">
        <f>J6*(1+K5)</f>
        <v>91430465666.46826</v>
      </c>
    </row>
    <row r="7" spans="1:11" x14ac:dyDescent="0.25">
      <c r="A7" t="s">
        <v>4</v>
      </c>
      <c r="B7" s="9">
        <f>Assumptions!B7</f>
        <v>0.1573969369131946</v>
      </c>
      <c r="C7" s="9">
        <f>Assumptions!B7</f>
        <v>0.1573969369131946</v>
      </c>
      <c r="D7" s="9">
        <f>Assumptions!B7</f>
        <v>0.1573969369131946</v>
      </c>
      <c r="E7" s="9">
        <f>Assumptions!B7</f>
        <v>0.1573969369131946</v>
      </c>
      <c r="F7" s="9">
        <f>Assumptions!B7</f>
        <v>0.1573969369131946</v>
      </c>
      <c r="G7" s="9">
        <f>Assumptions!B7</f>
        <v>0.1573969369131946</v>
      </c>
      <c r="H7" s="9">
        <f>Assumptions!B7</f>
        <v>0.1573969369131946</v>
      </c>
      <c r="I7" s="9">
        <f>Assumptions!B7</f>
        <v>0.1573969369131946</v>
      </c>
      <c r="J7" s="9">
        <f>Assumptions!B7</f>
        <v>0.1573969369131946</v>
      </c>
      <c r="K7" s="9">
        <f>Assumptions!B7</f>
        <v>0.1573969369131946</v>
      </c>
    </row>
    <row r="8" spans="1:11" x14ac:dyDescent="0.25">
      <c r="A8" t="s">
        <v>51</v>
      </c>
      <c r="B8" s="18">
        <f>B6*B7</f>
        <v>2879183468.484612</v>
      </c>
      <c r="C8" s="18">
        <f>C6*C7</f>
        <v>3965679004.824535</v>
      </c>
      <c r="D8" s="18">
        <f>D6*D7</f>
        <v>5287507573.156292</v>
      </c>
      <c r="E8" s="18">
        <f>E6*E7</f>
        <v>6817034341.115077</v>
      </c>
      <c r="F8" s="18">
        <f>F6*F7</f>
        <v>8488751742.871224</v>
      </c>
      <c r="G8" s="18">
        <f>G6*G7</f>
        <v>10196528935.176521</v>
      </c>
      <c r="H8" s="18">
        <f>H6*H7</f>
        <v>11798769623.374798</v>
      </c>
      <c r="I8" s="18">
        <f>I6*I7</f>
        <v>13133099510.816275</v>
      </c>
      <c r="J8" s="18">
        <f>J6*J7</f>
        <v>14039878279.462545</v>
      </c>
      <c r="K8" s="18">
        <f>K6*K7</f>
        <v>14390875236.449108</v>
      </c>
    </row>
    <row r="9" spans="1:11" x14ac:dyDescent="0.25">
      <c r="A9" t="s">
        <v>52</v>
      </c>
      <c r="B9" s="18">
        <f>B8*(1-Assumptions!B8)</f>
        <v>2484368608.0365863</v>
      </c>
      <c r="C9" s="18">
        <f>C8*(1-Assumptions!B8)</f>
        <v>3421875867.5775933</v>
      </c>
      <c r="D9" s="18">
        <f>D8*(1-Assumptions!B8)</f>
        <v>4562445559.059521</v>
      </c>
      <c r="E9" s="18">
        <f>E8*(1-Assumptions!B8)</f>
        <v>5882232342.03534</v>
      </c>
      <c r="F9" s="18">
        <f>F8*(1-Assumptions!B8)</f>
        <v>7324711530.976146</v>
      </c>
      <c r="G9" s="18">
        <f>G8*(1-Assumptions!B8)</f>
        <v>8798305726.179415</v>
      </c>
      <c r="H9" s="18">
        <f>H8*(1-Assumptions!B8)</f>
        <v>10180835360.657278</v>
      </c>
      <c r="I9" s="18">
        <f>I8*(1-Assumptions!B8)</f>
        <v>11332192098.221956</v>
      </c>
      <c r="J9" s="18">
        <f>J8*(1-Assumptions!B8)</f>
        <v>12114626677.99695</v>
      </c>
      <c r="K9" s="18">
        <f>K8*(1-Assumptions!B8)</f>
        <v>12417492344.946873</v>
      </c>
    </row>
    <row r="10" spans="1:11" x14ac:dyDescent="0.25">
      <c r="A10" t="s">
        <v>53</v>
      </c>
      <c r="B10" s="18">
        <f>B6*Assumptions!B9</f>
        <v>731688432.3547058</v>
      </c>
      <c r="C10" s="18">
        <f>C6*Assumptions!B9</f>
        <v>1007800123.2027225</v>
      </c>
      <c r="D10" s="18">
        <f>D6*Assumptions!B9</f>
        <v>1343717123.1406853</v>
      </c>
      <c r="E10" s="18">
        <f>E6*Assumptions!B9</f>
        <v>1732416577.4624877</v>
      </c>
      <c r="F10" s="18">
        <f>F6*Assumptions!B9</f>
        <v>2157251013.482234</v>
      </c>
      <c r="G10" s="18">
        <f>G6*Assumptions!B9</f>
        <v>2591249343.3304734</v>
      </c>
      <c r="H10" s="18">
        <f>H6*Assumptions!B9</f>
        <v>2998427625.0325966</v>
      </c>
      <c r="I10" s="18">
        <f>I6*Assumptions!B9</f>
        <v>3337521591.871724</v>
      </c>
      <c r="J10" s="18">
        <f>J6*Assumptions!B9</f>
        <v>3567961764.5754547</v>
      </c>
      <c r="K10" s="18">
        <f>K6*Assumptions!B9</f>
        <v>3657160808.689841</v>
      </c>
    </row>
    <row r="11" spans="1:11" x14ac:dyDescent="0.25">
      <c r="A11" t="s">
        <v>54</v>
      </c>
      <c r="B11" s="18">
        <f>-B6*B19</f>
        <v>-719612720.9705553</v>
      </c>
      <c r="C11" s="18">
        <f>-C6*C19</f>
        <v>-1035180808.0373454</v>
      </c>
      <c r="D11" s="18">
        <f>-D6*D19</f>
        <v>-1438907963.5294867</v>
      </c>
      <c r="E11" s="18">
        <f>-E6*E19</f>
        <v>-1930802688.2944846</v>
      </c>
      <c r="F11" s="18">
        <f>-F6*F19</f>
        <v>-2498499551.0378523</v>
      </c>
      <c r="G11" s="18">
        <f>-G6*G19</f>
        <v>-3114317428.448504</v>
      </c>
      <c r="H11" s="18">
        <f>-H6*H19</f>
        <v>-3734637801.3236938</v>
      </c>
      <c r="I11" s="18">
        <f>-I6*I19</f>
        <v>-4302748672.420771</v>
      </c>
      <c r="J11" s="18">
        <f>-J6*J19</f>
        <v>-4755655629.279481</v>
      </c>
      <c r="K11" s="18">
        <f>-K6*K19</f>
        <v>-5034264972.626662</v>
      </c>
    </row>
    <row r="12" spans="1:11" x14ac:dyDescent="0.25">
      <c r="A12" t="s">
        <v>55</v>
      </c>
      <c r="B12" s="18">
        <f>-(B6-Assumptions!B29)*Assumptions!B11</f>
        <v>-331670659.4738351</v>
      </c>
      <c r="C12" s="18">
        <f>-(C6-B6)*Assumptions!B11</f>
        <v>-375480091.836148</v>
      </c>
      <c r="D12" s="18">
        <f>-(D6-C6)*Assumptions!B11</f>
        <v>-456808422.7025969</v>
      </c>
      <c r="E12" s="18">
        <f>-(E6-D6)*Assumptions!B11</f>
        <v>-528586480.19271046</v>
      </c>
      <c r="F12" s="18">
        <f>-(F6-E6)*Assumptions!B11</f>
        <v>-577725892.5977794</v>
      </c>
      <c r="G12" s="18">
        <f>-(G6-F6)*Assumptions!B11</f>
        <v>-590187732.5355648</v>
      </c>
      <c r="H12" s="18">
        <f>-(H6-G6)*Assumptions!B11</f>
        <v>-553715556.6924314</v>
      </c>
      <c r="I12" s="18">
        <f>-(I6-H6)*Assumptions!B11</f>
        <v>-461128731.7056169</v>
      </c>
      <c r="J12" s="18">
        <f>-(J6-I6)*Assumptions!B11</f>
        <v>-313372088.460977</v>
      </c>
      <c r="K12" s="18">
        <f>-(K6-J6)*Assumptions!B11</f>
        <v>-121300424.37863307</v>
      </c>
    </row>
    <row r="13" spans="1:11" x14ac:dyDescent="0.25">
      <c r="A13" s="19" t="s">
        <v>56</v>
      </c>
      <c r="B13" s="20">
        <f>B9+B10+B11+B12</f>
        <v>2164773659.946902</v>
      </c>
      <c r="C13" s="20">
        <f>C9+C10+C11+C12</f>
        <v>3019015090.906822</v>
      </c>
      <c r="D13" s="20">
        <f>D9+D10+D11+D12</f>
        <v>4010446295.9681225</v>
      </c>
      <c r="E13" s="20">
        <f>E9+E10+E11+E12</f>
        <v>5155259751.010632</v>
      </c>
      <c r="F13" s="20">
        <f>F9+F10+F11+F12</f>
        <v>6405737100.822748</v>
      </c>
      <c r="G13" s="20">
        <f>G9+G10+G11+G12</f>
        <v>7685049908.52582</v>
      </c>
      <c r="H13" s="20">
        <f>H9+H10+H11+H12</f>
        <v>8890909627.673748</v>
      </c>
      <c r="I13" s="20">
        <f>I9+I10+I11+I12</f>
        <v>9905836285.967295</v>
      </c>
      <c r="J13" s="20">
        <f>J9+J10+J11+J12</f>
        <v>10613560724.831945</v>
      </c>
      <c r="K13" s="20">
        <f>K9+K10+K11+K12</f>
        <v>10919087756.631418</v>
      </c>
    </row>
    <row r="14" spans="1:11" x14ac:dyDescent="0.25">
      <c r="A14" t="s">
        <v>57</v>
      </c>
      <c r="B14" s="21">
        <f>1/(1+Assumptions!$B$26)^(1-0.5*Assumptions!$B$32)</f>
        <v>0.944853052756971</v>
      </c>
      <c r="C14" s="21">
        <f>1/(1+Assumptions!$B$26)^(2-0.5*Assumptions!$B$32)</f>
        <v>0.8435150035292592</v>
      </c>
      <c r="D14" s="21">
        <f>1/(1+Assumptions!$B$26)^(3-0.5*Assumptions!$B$32)</f>
        <v>0.7530457345751713</v>
      </c>
      <c r="E14" s="21">
        <f>1/(1+Assumptions!$B$26)^(4-0.5*Assumptions!$B$32)</f>
        <v>0.6722795397701411</v>
      </c>
      <c r="F14" s="21">
        <f>1/(1+Assumptions!$B$26)^(5-0.5*Assumptions!$B$32)</f>
        <v>0.6001757381290057</v>
      </c>
      <c r="G14" s="21">
        <f>1/(1+Assumptions!$B$26)^(6-0.5*Assumptions!$B$32)</f>
        <v>0.5358052645211491</v>
      </c>
      <c r="H14" s="21">
        <f>1/(1+Assumptions!$B$26)^(7-0.5*Assumptions!$B$32)</f>
        <v>0.47833869856776867</v>
      </c>
      <c r="I14" s="21">
        <f>1/(1+Assumptions!$B$26)^(8-0.5*Assumptions!$B$32)</f>
        <v>0.42703557747233606</v>
      </c>
      <c r="J14" s="21">
        <f>1/(1+Assumptions!$B$26)^(9-0.5*Assumptions!$B$32)</f>
        <v>0.3812348550789389</v>
      </c>
      <c r="K14" s="21">
        <f>1/(1+Assumptions!$B$26)^(10-0.5*Assumptions!$B$32)</f>
        <v>0.34034638422245944</v>
      </c>
    </row>
    <row r="15" spans="1:11" x14ac:dyDescent="0.25">
      <c r="A15" s="19" t="s">
        <v>58</v>
      </c>
      <c r="B15" s="20">
        <f>B13*B14</f>
        <v>2045393001.1287112</v>
      </c>
      <c r="C15" s="20">
        <f>C13*C14</f>
        <v>2546584525.061155</v>
      </c>
      <c r="D15" s="20">
        <f>D13*D14</f>
        <v>3020049476.92159</v>
      </c>
      <c r="E15" s="20">
        <f>E13*E14</f>
        <v>3465775652.80496</v>
      </c>
      <c r="F15" s="20">
        <f>F13*F14</f>
        <v>3844567992.7466497</v>
      </c>
      <c r="G15" s="20">
        <f>G13*G14</f>
        <v>4117690199.095909</v>
      </c>
      <c r="H15" s="20">
        <f>H13*H14</f>
        <v>4252866140.385105</v>
      </c>
      <c r="I15" s="20">
        <f>I13*I14</f>
        <v>4230144518.7244644</v>
      </c>
      <c r="J15" s="20">
        <f>J13*J14</f>
        <v>4046259284.8028245</v>
      </c>
      <c r="K15" s="20">
        <f>K13*K14</f>
        <v>3716272036.9772296</v>
      </c>
    </row>
    <row r="17" spans="1:2" x14ac:dyDescent="0.25">
      <c r="A17" s="22" t="s">
        <v>59</v>
      </c>
      <c r="B17" s="23">
        <f>SUM(B15:K15)</f>
        <v>35285602828.6486</v>
      </c>
    </row>
    <row r="19" spans="1:11" x14ac:dyDescent="0.25">
      <c r="A19" t="s">
        <v>7</v>
      </c>
      <c r="B19" s="9">
        <f>Assumptions!$B$10+($B$20-Assumptions!$B$10)*0/9</f>
        <v>0.03933922213861174</v>
      </c>
      <c r="C19" s="9">
        <f>Assumptions!$B$10+($B$20-Assumptions!$B$10)*1/9</f>
        <v>0.04108610105310655</v>
      </c>
      <c r="D19" s="9">
        <f>Assumptions!$B$10+($B$20-Assumptions!$B$10)*2/9</f>
        <v>0.04283297996760135</v>
      </c>
      <c r="E19" s="9">
        <f>Assumptions!$B$10+($B$20-Assumptions!$B$10)*3/9</f>
        <v>0.04457985888209616</v>
      </c>
      <c r="F19" s="9">
        <f>Assumptions!$B$10+($B$20-Assumptions!$B$10)*4/9</f>
        <v>0.04632673779659097</v>
      </c>
      <c r="G19" s="9">
        <f>Assumptions!$B$10+($B$20-Assumptions!$B$10)*5/9</f>
        <v>0.04807361671108577</v>
      </c>
      <c r="H19" s="9">
        <f>Assumptions!$B$10+($B$20-Assumptions!$B$10)*6/9</f>
        <v>0.04982049562558058</v>
      </c>
      <c r="I19" s="9">
        <f>Assumptions!$B$10+($B$20-Assumptions!$B$10)*7/9</f>
        <v>0.05156737454007539</v>
      </c>
      <c r="J19" s="9">
        <f>Assumptions!$B$10+($B$20-Assumptions!$B$10)*8/9</f>
        <v>0.0533142534545702</v>
      </c>
      <c r="K19" s="9">
        <f>Assumptions!$B$10+($B$20-Assumptions!$B$10)*9/9</f>
        <v>0.055061132369065006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0.055061132369065006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10919087756.631418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12417492344.946873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0.11090034329654448</v>
      </c>
    </row>
    <row r="7" spans="1:2" x14ac:dyDescent="0.25">
      <c r="A7" t="s">
        <v>66</v>
      </c>
      <c r="B7" s="18">
        <f>-MAX(B5,0)*B6</f>
        <v>-1377104163.9368212</v>
      </c>
    </row>
    <row r="8" spans="1:2" x14ac:dyDescent="0.25">
      <c r="A8" t="s">
        <v>67</v>
      </c>
      <c r="B8" s="18">
        <f>IF(OR(Assumptions!$B$33=0,Assumptions!B12&lt;=0),B5,MAX(B5+B7,0))</f>
        <v>11040388181.010052</v>
      </c>
    </row>
    <row r="9" spans="1:2" x14ac:dyDescent="0.25">
      <c r="A9" t="s">
        <v>68</v>
      </c>
      <c r="B9" s="18">
        <f>B8*(1+Assumptions!B12)/(Assumptions!B26-Assumptions!B12)</f>
        <v>118947422914.80904</v>
      </c>
    </row>
    <row r="10" spans="1:2" x14ac:dyDescent="0.25">
      <c r="A10" t="s">
        <v>69</v>
      </c>
      <c r="B10" s="18">
        <f>B9/(1+Assumptions!B26)^(10-0.5*Assumptions!B32)</f>
        <v>40483325301.63497</v>
      </c>
    </row>
    <row r="11" spans="1:2" x14ac:dyDescent="0.25">
      <c r="A11" t="s">
        <v>70</v>
      </c>
      <c r="B11" s="18">
        <f>Forecast!B17+B10</f>
        <v>75768928130.28357</v>
      </c>
    </row>
    <row r="12" spans="1:2" x14ac:dyDescent="0.25">
      <c r="A12" t="s">
        <v>71</v>
      </c>
      <c r="B12" s="18">
        <f>-Assumptions!B30</f>
        <v>-2154000000</v>
      </c>
    </row>
    <row r="13" spans="1:2" x14ac:dyDescent="0.25">
      <c r="A13" t="s">
        <v>72</v>
      </c>
      <c r="B13" s="18">
        <f>B11+B12</f>
        <v>73614928130.28357</v>
      </c>
    </row>
    <row r="14" spans="1:2" x14ac:dyDescent="0.25">
      <c r="A14" s="19" t="s">
        <v>73</v>
      </c>
      <c r="B14" s="24">
        <f>B13/Assumptions!B31</f>
        <v>321.4770347210758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18048036045.13895</v>
      </c>
    </row>
    <row r="18" spans="1:2" x14ac:dyDescent="0.25">
      <c r="A18" t="s">
        <v>68</v>
      </c>
      <c r="B18" s="18">
        <f>B17*Assumptions!B13</f>
        <v>360960720902.779</v>
      </c>
    </row>
    <row r="19" spans="1:2" x14ac:dyDescent="0.25">
      <c r="A19" t="s">
        <v>69</v>
      </c>
      <c r="B19" s="18">
        <f>B18/(1+Assumptions!B26)^(10-0.5*Assumptions!B32)</f>
        <v>122851676205.59317</v>
      </c>
    </row>
    <row r="20" spans="1:2" x14ac:dyDescent="0.25">
      <c r="A20" t="s">
        <v>70</v>
      </c>
      <c r="B20" s="18">
        <f>Forecast!B17+B19</f>
        <v>158137279034.24176</v>
      </c>
    </row>
    <row r="21" spans="1:2" x14ac:dyDescent="0.25">
      <c r="A21" t="s">
        <v>71</v>
      </c>
      <c r="B21" s="18">
        <f>-Assumptions!B30</f>
        <v>-2154000000</v>
      </c>
    </row>
    <row r="22" spans="1:2" x14ac:dyDescent="0.25">
      <c r="A22" t="s">
        <v>72</v>
      </c>
      <c r="B22" s="18">
        <f>B20+B21</f>
        <v>155983279034.24176</v>
      </c>
    </row>
    <row r="23" spans="1:2" x14ac:dyDescent="0.25">
      <c r="A23" s="19" t="s">
        <v>73</v>
      </c>
      <c r="B23" s="25">
        <f>B22/Assumptions!B31</f>
        <v>681.1803432213042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644.58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321.4770347210758</v>
      </c>
    </row>
    <row r="29" spans="1:2" x14ac:dyDescent="0.25">
      <c r="A29" s="19" t="s">
        <v>81</v>
      </c>
      <c r="B29" s="11">
        <f>B28/B26-1</f>
        <v>-0.5012612325528627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0.100138</v>
      </c>
      <c r="B5" s="31">
        <v>409.5194879284186</v>
      </c>
      <c r="C5" s="31">
        <v>417.3683000546391</v>
      </c>
      <c r="D5" s="31">
        <v>426.5232031950642</v>
      </c>
      <c r="E5" s="31">
        <v>437.2635233243879</v>
      </c>
      <c r="F5" s="31">
        <v>449.9543507867023</v>
      </c>
    </row>
    <row r="6" spans="1:6" x14ac:dyDescent="0.25">
      <c r="A6" s="30">
        <v>0.110138</v>
      </c>
      <c r="B6" s="31">
        <v>357.2473189290648</v>
      </c>
      <c r="C6" s="31">
        <v>362.0453033419316</v>
      </c>
      <c r="D6" s="31">
        <v>367.62470218574776</v>
      </c>
      <c r="E6" s="31">
        <v>374.13177836281034</v>
      </c>
      <c r="F6" s="31">
        <v>381.75172658150507</v>
      </c>
    </row>
    <row r="7" spans="1:6" x14ac:dyDescent="0.25">
      <c r="A7" s="30">
        <v>0.120138</v>
      </c>
      <c r="B7" s="31">
        <v>315.32760221857467</v>
      </c>
      <c r="C7" s="31">
        <v>318.16093828918144</v>
      </c>
      <c r="D7" s="32">
        <v>321.4762729162642</v>
      </c>
      <c r="E7" s="31">
        <v>325.35381620374307</v>
      </c>
      <c r="F7" s="31">
        <v>329.892620630017</v>
      </c>
    </row>
    <row r="8" spans="1:6" x14ac:dyDescent="0.25">
      <c r="A8" s="30">
        <v>0.130138</v>
      </c>
      <c r="B8" s="31">
        <v>281.03818893542865</v>
      </c>
      <c r="C8" s="31">
        <v>282.57632074258606</v>
      </c>
      <c r="D8" s="31">
        <v>284.41832636868</v>
      </c>
      <c r="E8" s="31">
        <v>286.60972407135574</v>
      </c>
      <c r="F8" s="31">
        <v>289.2056009992679</v>
      </c>
    </row>
    <row r="9" spans="1:6" x14ac:dyDescent="0.25">
      <c r="A9" s="30">
        <v>0.140138</v>
      </c>
      <c r="B9" s="31">
        <v>252.5288307340778</v>
      </c>
      <c r="C9" s="31">
        <v>253.19929658176983</v>
      </c>
      <c r="D9" s="31">
        <v>254.06414201119378</v>
      </c>
      <c r="E9" s="31">
        <v>255.14984011724877</v>
      </c>
      <c r="F9" s="31">
        <v>256.48789987052044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12195000000</v>
      </c>
      <c r="C5" s="18">
        <v>9097000000</v>
      </c>
      <c r="D5" s="18">
        <v>6551000000</v>
      </c>
      <c r="E5" s="18">
        <v>7384000000</v>
      </c>
      <c r="F5" s="6" t="s">
        <v>91</v>
      </c>
    </row>
    <row r="6" spans="1:6" x14ac:dyDescent="0.25">
      <c r="A6" t="s">
        <v>51</v>
      </c>
      <c r="B6" s="18">
        <v>4226000000</v>
      </c>
      <c r="C6" s="18">
        <v>1915000000</v>
      </c>
      <c r="D6" s="18">
        <v>422000000</v>
      </c>
      <c r="E6" s="18">
        <v>60000000</v>
      </c>
      <c r="F6" s="6" t="s">
        <v>92</v>
      </c>
    </row>
    <row r="7" spans="1:6" x14ac:dyDescent="0.25">
      <c r="A7" t="s">
        <v>93</v>
      </c>
      <c r="B7" s="18">
        <v>276000000</v>
      </c>
      <c r="C7" s="18">
        <v>251000000</v>
      </c>
      <c r="D7" s="18">
        <v>264000000</v>
      </c>
      <c r="E7" s="18">
        <v>513000000</v>
      </c>
      <c r="F7" s="6" t="s">
        <v>94</v>
      </c>
    </row>
    <row r="8" spans="1:6" x14ac:dyDescent="0.25">
      <c r="A8" t="s">
        <v>95</v>
      </c>
      <c r="B8" s="18">
        <v>569000000</v>
      </c>
      <c r="C8" s="18">
        <v>265000000</v>
      </c>
      <c r="D8" s="18">
        <v>254000000</v>
      </c>
      <c r="E8" s="18">
        <v>316000000</v>
      </c>
      <c r="F8" s="6" t="s">
        <v>96</v>
      </c>
    </row>
    <row r="9" spans="1:6" x14ac:dyDescent="0.25">
      <c r="A9" t="s">
        <v>97</v>
      </c>
      <c r="B9" s="18">
        <v>159000000</v>
      </c>
      <c r="C9" s="18">
        <v>965000000</v>
      </c>
      <c r="D9" s="18">
        <v>-386000000</v>
      </c>
      <c r="E9" s="18">
        <v>-1162000000</v>
      </c>
      <c r="F9" s="6" t="s">
        <v>98</v>
      </c>
    </row>
    <row r="10" spans="1:6" x14ac:dyDescent="0.25">
      <c r="A10" t="s">
        <v>99</v>
      </c>
      <c r="B10" s="18">
        <v>3858000000</v>
      </c>
      <c r="C10" s="18">
        <v>5312000000</v>
      </c>
      <c r="D10" s="18">
        <v>5674000000</v>
      </c>
      <c r="E10" s="18">
        <v>5451000000</v>
      </c>
      <c r="F10" s="6" t="s">
        <v>100</v>
      </c>
    </row>
    <row r="11" spans="1:6" x14ac:dyDescent="0.25">
      <c r="A11" t="s">
        <v>101</v>
      </c>
      <c r="B11" s="18">
        <v>1704000000</v>
      </c>
      <c r="C11" s="18">
        <v>891000000</v>
      </c>
      <c r="D11" s="18">
        <v>1358000000</v>
      </c>
      <c r="E11" s="18">
        <v>786000000</v>
      </c>
      <c r="F11" s="6" t="s">
        <v>102</v>
      </c>
    </row>
    <row r="12" spans="1:6" x14ac:dyDescent="0.25">
      <c r="A12" t="s">
        <v>34</v>
      </c>
      <c r="B12" s="34">
        <v>228989695</v>
      </c>
      <c r="C12" s="34">
        <v>216990235</v>
      </c>
      <c r="D12" s="34">
        <v>211990460</v>
      </c>
      <c r="E12" s="34">
        <v>206990685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