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<sst xmlns="http://schemas.openxmlformats.org/spreadsheetml/2006/main" count="120" uniqueCount="107">
  <si>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Constellation Brands, Inc. (STZ)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</si>
  <si>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</si>
  <si>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</si>
  <si>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</si>
  <si>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</si>
  <si>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</si>
  <si>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</si>
  <si>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</si>
  <si>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</si>
  <si>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</si>
  <si>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</si>
  <si>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</si>
  <si>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</si>
  <si>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</si>
  <si>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</si>
  <si>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</si>
  <si>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</si>
  <si>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</si>
  <si>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</si>
  <si>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</si>
  <si>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</si>
  <si>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</si>
  <si>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</si>
  <si>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</si>
  <si>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7.9x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</si>
  <si>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</si>
  <si>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</si>
  <si>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</si>
  <si>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</si>
  <si>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</si>
  <si>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</si>
  <si>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</si>
  <si>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2026-02-28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</si>
  <si>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</si>
  <si>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</si>
  <si>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</si>
  <si>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</si>
  <si>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</si>
  <si>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</si>
  <si>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</si>
  <si>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</si>
  <si>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</si>
  <si>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</si>
  <si>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</si>
  <si>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</si>
  <si>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</si>
  <si>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</si>
  <si>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</si>
  <si>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</si>
  <si>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</si>
  <si>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</si>
  <si>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</si>
  <si>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</si>
  <si>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</si>
  <si>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</si>
  <si>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</si>
  <si>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</si>
  <si>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</si>
  <si>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</si>
  <si>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</si>
  <si>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</si>
  <si>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</si>
  <si>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</si>
  <si>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</si>
  <si>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</si>
  <si>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</si>
  <si>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</si>
  <si>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</si>
  <si>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</si>
  <si>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</si>
  <si>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</si>
  <si>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</si>
  <si>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</si>
  <si>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</si>
  <si>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</si>
  <si>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</si>
  <si>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</si>
  <si>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</si>
  <si>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</si>
  <si>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</si>
  <si>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</si>
  <si>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</si>
  <si>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</si>
  <si>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</si>
  <si>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</si>
  <si>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</si>
  <si>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2026-02-28</t>
  </si>
  <si>
    <t>2025-02-28</t>
  </si>
  <si>
    <t>2024-02-29</t>
  </si>
  <si>
    <t>2023-02-28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</si>
  <si>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</si>
  <si>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</si>
  <si>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</si>
  <si>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</si>
  <si>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</si>
  <si>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</si>
  <si>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</si>
  <si>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</si>
  <si>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</si>
  <si>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</si>
  <si>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</si>
  <si>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</si>
  <si>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</si>
  <si>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</si>
  <si>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</si>
  <si>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11.3% of revenue against depreciation of 4.3%.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</si>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</sst>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-0.001892252981726683</v>
      </c>
    </row>
    <row r="7" spans="1:2" x14ac:dyDescent="0.25">
      <c r="A7" t="s">
        <v>4</v>
      </c>
      <c r="B7" s="5">
        <v>0.31577706728798155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0.043257537673925414</v>
      </c>
    </row>
    <row r="10" spans="1:3" x14ac:dyDescent="0.25">
      <c r="A10" t="s">
        <v>7</v>
      </c>
      <c r="B10" s="5">
        <v>0.11290103647387312</v>
      </c>
      <c r="C10" s="6" t="s">
        <v>8</v>
      </c>
    </row>
    <row r="11" spans="1:2" x14ac:dyDescent="0.25">
      <c r="A11" t="s">
        <v>9</v>
      </c>
      <c r="B11" s="5">
        <v>0.15247279194552515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10.360568858553233</v>
      </c>
    </row>
    <row r="14" spans="1:3" x14ac:dyDescent="0.25">
      <c r="A14" t="s">
        <v>12</v>
      </c>
      <c r="B14" s="5">
        <v>0.11881667773396506</v>
      </c>
      <c r="C14" s="6" t="s">
        <v>13</v>
      </c>
    </row>
    <row r="15" spans="1:3" x14ac:dyDescent="0.25">
      <c r="A15" t="s">
        <v>14</v>
      </c>
      <c r="B15" s="5">
        <v>0.043257537673925414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0.6174299999999999</v>
      </c>
      <c r="C19" s="6" t="s">
        <v>21</v>
      </c>
    </row>
    <row r="20" spans="1:2" x14ac:dyDescent="0.25">
      <c r="A20" t="s">
        <v>22</v>
      </c>
      <c r="B20" s="9">
        <f>B17+B19*B18</f>
        <v>0.075057289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22901114880</v>
      </c>
    </row>
    <row r="23" spans="1:2" x14ac:dyDescent="0.25">
      <c r="A23" t="s">
        <v>26</v>
      </c>
      <c r="B23" s="10">
        <v>11202600000</v>
      </c>
    </row>
    <row r="24" spans="1:2" x14ac:dyDescent="0.25">
      <c r="A24" t="s">
        <v>27</v>
      </c>
      <c r="B24" s="9">
        <f>B22/(B22+B23)</f>
        <v>0.6715137914031258</v>
      </c>
    </row>
    <row r="25" spans="1:2" x14ac:dyDescent="0.25">
      <c r="A25" t="s">
        <v>28</v>
      </c>
      <c r="B25" s="9">
        <f>1-B24</f>
        <v>0.32848620859687416</v>
      </c>
    </row>
    <row r="26" spans="1:2" x14ac:dyDescent="0.25">
      <c r="A26" t="s">
        <v>29</v>
      </c>
      <c r="B26" s="11">
        <f>B24*B20+B25*B21*(1-B8)</f>
        <v>0.06452940817368107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9139000000</v>
      </c>
      <c r="C29" s="6" t="s">
        <v>32</v>
      </c>
    </row>
    <row r="30" spans="1:2" x14ac:dyDescent="0.25">
      <c r="A30" t="s">
        <v>33</v>
      </c>
      <c r="B30" s="10">
        <v>11100200000</v>
      </c>
    </row>
    <row r="31" spans="1:2" x14ac:dyDescent="0.25">
      <c r="A31" t="s">
        <v>34</v>
      </c>
      <c r="B31" s="12">
        <v>175568000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-0.001892252981726683</v>
      </c>
      <c r="C5" s="5">
        <v>0.014907379120181474</v>
      </c>
      <c r="D5" s="5">
        <v>0.01616895673015879</v>
      </c>
      <c r="E5" s="5">
        <v>0.017430534340136104</v>
      </c>
      <c r="F5" s="5">
        <v>0.018692111950113423</v>
      </c>
      <c r="G5" s="5">
        <v>0.019953689560090738</v>
      </c>
      <c r="H5" s="5">
        <v>0.021215267170068053</v>
      </c>
      <c r="I5" s="5">
        <v>0.02247684478004537</v>
      </c>
      <c r="J5" s="5">
        <v>0.023738422390022686</v>
      </c>
      <c r="K5" s="5">
        <v>0.025</v>
      </c>
    </row>
    <row r="6" spans="1:11" x14ac:dyDescent="0.25">
      <c r="A6" t="s">
        <v>50</v>
      </c>
      <c r="B6" s="18">
        <f>Assumptions!B29*(1+B5)</f>
        <v>9121706700</v>
      </c>
      <c r="C6" s="18">
        <f>B6*(1+C5)</f>
        <v>9257687440</v>
      </c>
      <c r="D6" s="18">
        <f>C6*(1+D5)</f>
        <v>9407374587.638695</v>
      </c>
      <c r="E6" s="18">
        <f>D6*(1+E5)</f>
        <v>9571350153.439056</v>
      </c>
      <c r="F6" s="18">
        <f>E6*(1+F5)</f>
        <v>9750258902.020874</v>
      </c>
      <c r="G6" s="18">
        <f>F6*(1+G5)</f>
        <v>9944812541.282309</v>
      </c>
      <c r="H6" s="18">
        <f>G6*(1+H5)</f>
        <v>10155794396.301857</v>
      </c>
      <c r="I6" s="18">
        <f>H6*(1+I5)</f>
        <v>10384064610.565588</v>
      </c>
      <c r="J6" s="18">
        <f>I6*(1+J5)</f>
        <v>10630565922.416481</v>
      </c>
      <c r="K6" s="18">
        <f>J6*(1+K5)</f>
        <v>10896330070.476892</v>
      </c>
    </row>
    <row r="7" spans="1:11" x14ac:dyDescent="0.25">
      <c r="A7" t="s">
        <v>4</v>
      </c>
      <c r="B7" s="9">
        <f>Assumptions!B7</f>
        <v>0.31577706728798155</v>
      </c>
      <c r="C7" s="9">
        <f>Assumptions!B7</f>
        <v>0.31577706728798155</v>
      </c>
      <c r="D7" s="9">
        <f>Assumptions!B7</f>
        <v>0.31577706728798155</v>
      </c>
      <c r="E7" s="9">
        <f>Assumptions!B7</f>
        <v>0.31577706728798155</v>
      </c>
      <c r="F7" s="9">
        <f>Assumptions!B7</f>
        <v>0.31577706728798155</v>
      </c>
      <c r="G7" s="9">
        <f>Assumptions!B7</f>
        <v>0.31577706728798155</v>
      </c>
      <c r="H7" s="9">
        <f>Assumptions!B7</f>
        <v>0.31577706728798155</v>
      </c>
      <c r="I7" s="9">
        <f>Assumptions!B7</f>
        <v>0.31577706728798155</v>
      </c>
      <c r="J7" s="9">
        <f>Assumptions!B7</f>
        <v>0.31577706728798155</v>
      </c>
      <c r="K7" s="9">
        <f>Assumptions!B7</f>
        <v>0.31577706728798155</v>
      </c>
    </row>
    <row r="8" spans="1:11" x14ac:dyDescent="0.25">
      <c r="A8" t="s">
        <v>51</v>
      </c>
      <c r="B8" s="18">
        <f>B6*B7</f>
        <v>2880425790.387132</v>
      </c>
      <c r="C8" s="18">
        <f>C6*C7</f>
        <v>2923365389.671982</v>
      </c>
      <c r="D8" s="18">
        <f>D6*D7</f>
        <v>2970633158.164032</v>
      </c>
      <c r="E8" s="18">
        <f>E6*E7</f>
        <v>3022412881.4393573</v>
      </c>
      <c r="F8" s="18">
        <f>F6*F7</f>
        <v>3078908161.3786864</v>
      </c>
      <c r="G8" s="18">
        <f>G6*G7</f>
        <v>3140343739.0148664</v>
      </c>
      <c r="H8" s="18">
        <f>H6*H7</f>
        <v>3206966970.4439173</v>
      </c>
      <c r="I8" s="18">
        <f>I6*I7</f>
        <v>3279049469.253318</v>
      </c>
      <c r="J8" s="18">
        <f>J6*J7</f>
        <v>3356888930.5922327</v>
      </c>
      <c r="K8" s="18">
        <f>K6*K7</f>
        <v>3440811153.8570385</v>
      </c>
    </row>
    <row r="9" spans="1:11" x14ac:dyDescent="0.25">
      <c r="A9" t="s">
        <v>52</v>
      </c>
      <c r="B9" s="18">
        <f>B8*(1-Assumptions!B8)</f>
        <v>2275536374.4058347</v>
      </c>
      <c r="C9" s="18">
        <f>C8*(1-Assumptions!B8)</f>
        <v>2309458657.8408656</v>
      </c>
      <c r="D9" s="18">
        <f>D8*(1-Assumptions!B8)</f>
        <v>2346800194.9495854</v>
      </c>
      <c r="E9" s="18">
        <f>E8*(1-Assumptions!B8)</f>
        <v>2387706176.3370924</v>
      </c>
      <c r="F9" s="18">
        <f>F8*(1-Assumptions!B8)</f>
        <v>2432337447.4891624</v>
      </c>
      <c r="G9" s="18">
        <f>G8*(1-Assumptions!B8)</f>
        <v>2480871553.8217444</v>
      </c>
      <c r="H9" s="18">
        <f>H8*(1-Assumptions!B8)</f>
        <v>2533503906.650695</v>
      </c>
      <c r="I9" s="18">
        <f>I8*(1-Assumptions!B8)</f>
        <v>2590449080.710121</v>
      </c>
      <c r="J9" s="18">
        <f>J8*(1-Assumptions!B8)</f>
        <v>2651942255.167864</v>
      </c>
      <c r="K9" s="18">
        <f>K8*(1-Assumptions!B8)</f>
        <v>2718240811.5470605</v>
      </c>
    </row>
    <row r="10" spans="1:11" x14ac:dyDescent="0.25">
      <c r="A10" t="s">
        <v>53</v>
      </c>
      <c r="B10" s="18">
        <f>B6*Assumptions!B9</f>
        <v>394582571.2257479</v>
      </c>
      <c r="C10" s="18">
        <f>C6*Assumptions!B9</f>
        <v>400464763.20922613</v>
      </c>
      <c r="D10" s="18">
        <f>D6*Assumptions!B9</f>
        <v>406939860.6375094</v>
      </c>
      <c r="E10" s="18">
        <f>E6*Assumptions!B9</f>
        <v>414033039.85272175</v>
      </c>
      <c r="F10" s="18">
        <f>F6*Assumptions!B9</f>
        <v>421772191.7846946</v>
      </c>
      <c r="G10" s="18">
        <f>G6*Assumptions!B9</f>
        <v>430188103.1646454</v>
      </c>
      <c r="H10" s="18">
        <f>H6*Assumptions!B9</f>
        <v>439314658.7066682</v>
      </c>
      <c r="I10" s="18">
        <f>I6*Assumptions!B9</f>
        <v>449189066.10001653</v>
      </c>
      <c r="J10" s="18">
        <f>J6*Assumptions!B9</f>
        <v>459852105.8840786</v>
      </c>
      <c r="K10" s="18">
        <f>K6*Assumptions!B9</f>
        <v>471348408.53118056</v>
      </c>
    </row>
    <row r="11" spans="1:11" x14ac:dyDescent="0.25">
      <c r="A11" t="s">
        <v>54</v>
      </c>
      <c r="B11" s="18">
        <f>-B6*B19</f>
        <v>-1029850140.8406729</v>
      </c>
      <c r="C11" s="18">
        <f>-C6*C19</f>
        <v>-1027557088.5567095</v>
      </c>
      <c r="D11" s="18">
        <f>-D6*D19</f>
        <v>-1026240887.8763183</v>
      </c>
      <c r="E11" s="18">
        <f>-E6*E19</f>
        <v>-1025885545.9817307</v>
      </c>
      <c r="F11" s="18">
        <f>-F6*F19</f>
        <v>-1026477239.2980442</v>
      </c>
      <c r="G11" s="18">
        <f>-G6*G19</f>
        <v>-1028004148.4770842</v>
      </c>
      <c r="H11" s="18">
        <f>-H6*H19</f>
        <v>-1030456294.6551502</v>
      </c>
      <c r="I11" s="18">
        <f>-I6*I19</f>
        <v>-1033825374.7591037</v>
      </c>
      <c r="J11" s="18">
        <f>-J6*J19</f>
        <v>-1038104593.5023736</v>
      </c>
      <c r="K11" s="18">
        <f>-K6*K19</f>
        <v>-1043288489.5426404</v>
      </c>
    </row>
    <row r="12" spans="1:11" x14ac:dyDescent="0.25">
      <c r="A12" t="s">
        <v>55</v>
      </c>
      <c r="B12" s="18">
        <f>-(B6-Assumptions!B29)*Assumptions!B11</f>
        <v>2636757.7329515503</v>
      </c>
      <c r="C12" s="18">
        <f>-(C6-B6)*Assumptions!B11</f>
        <v>-20733363.07861855</v>
      </c>
      <c r="D12" s="18">
        <f>-(D6-C6)*Assumptions!B11</f>
        <v>-22823217.318833813</v>
      </c>
      <c r="E12" s="18">
        <f>-(E6-D6)*Assumptions!B11</f>
        <v>-25001812.32842831</v>
      </c>
      <c r="F12" s="18">
        <f>-(F6-E6)*Assumptions!B11</f>
        <v>-27278716.39974975</v>
      </c>
      <c r="G12" s="18">
        <f>-(G6-F6)*Assumptions!B11</f>
        <v>-29664136.561353464</v>
      </c>
      <c r="H12" s="18">
        <f>-(H6-G6)*Assumptions!B11</f>
        <v>-32168992.48467656</v>
      </c>
      <c r="I12" s="18">
        <f>-(I6-H6)*Assumptions!B11</f>
        <v>-34804996.88679431</v>
      </c>
      <c r="J12" s="18">
        <f>-(J6-I6)*Assumptions!B11</f>
        <v>-37584743.23614023</v>
      </c>
      <c r="K12" s="18">
        <f>-(K6-J6)*Assumptions!B11</f>
        <v>-40521801.653794855</v>
      </c>
    </row>
    <row r="13" spans="1:11" x14ac:dyDescent="0.25">
      <c r="A13" s="19" t="s">
        <v>56</v>
      </c>
      <c r="B13" s="20">
        <f>B9+B10+B11+B12</f>
        <v>1642905562.5238614</v>
      </c>
      <c r="C13" s="20">
        <f>C9+C10+C11+C12</f>
        <v>1661632969.4147637</v>
      </c>
      <c r="D13" s="20">
        <f>D9+D10+D11+D12</f>
        <v>1704675950.3919425</v>
      </c>
      <c r="E13" s="20">
        <f>E9+E10+E11+E12</f>
        <v>1750851857.8796551</v>
      </c>
      <c r="F13" s="20">
        <f>F9+F10+F11+F12</f>
        <v>1800353683.5760632</v>
      </c>
      <c r="G13" s="20">
        <f>G9+G10+G11+G12</f>
        <v>1853391371.947952</v>
      </c>
      <c r="H13" s="20">
        <f>H9+H10+H11+H12</f>
        <v>1910193278.2175364</v>
      </c>
      <c r="I13" s="20">
        <f>I9+I10+I11+I12</f>
        <v>1971007775.1642396</v>
      </c>
      <c r="J13" s="20">
        <f>J9+J10+J11+J12</f>
        <v>2036105024.3134284</v>
      </c>
      <c r="K13" s="20">
        <f>K9+K10+K11+K12</f>
        <v>2105778928.8818057</v>
      </c>
    </row>
    <row r="14" spans="1:11" x14ac:dyDescent="0.25">
      <c r="A14" t="s">
        <v>57</v>
      </c>
      <c r="B14" s="21">
        <f>1/(1+Assumptions!$B$26)^(1-0.5*Assumptions!$B$32)</f>
        <v>0.969217324038345</v>
      </c>
      <c r="C14" s="21">
        <f>1/(1+Assumptions!$B$26)^(2-0.5*Assumptions!$B$32)</f>
        <v>0.9104655226962168</v>
      </c>
      <c r="D14" s="21">
        <f>1/(1+Assumptions!$B$26)^(3-0.5*Assumptions!$B$32)</f>
        <v>0.8552751250510044</v>
      </c>
      <c r="E14" s="21">
        <f>1/(1+Assumptions!$B$26)^(4-0.5*Assumptions!$B$32)</f>
        <v>0.8034302467212477</v>
      </c>
      <c r="F14" s="21">
        <f>1/(1+Assumptions!$B$26)^(5-0.5*Assumptions!$B$32)</f>
        <v>0.7547280897571649</v>
      </c>
      <c r="G14" s="21">
        <f>1/(1+Assumptions!$B$26)^(6-0.5*Assumptions!$B$32)</f>
        <v>0.7089781493702322</v>
      </c>
      <c r="H14" s="21">
        <f>1/(1+Assumptions!$B$26)^(7-0.5*Assumptions!$B$32)</f>
        <v>0.6660014687490533</v>
      </c>
      <c r="I14" s="21">
        <f>1/(1+Assumptions!$B$26)^(8-0.5*Assumptions!$B$32)</f>
        <v>0.6256299390466377</v>
      </c>
      <c r="J14" s="21">
        <f>1/(1+Assumptions!$B$26)^(9-0.5*Assumptions!$B$32)</f>
        <v>0.5877056418008926</v>
      </c>
      <c r="K14" s="21">
        <f>1/(1+Assumptions!$B$26)^(10-0.5*Assumptions!$B$32)</f>
        <v>0.5520802312161269</v>
      </c>
    </row>
    <row r="15" spans="1:11" x14ac:dyDescent="0.25">
      <c r="A15" s="19" t="s">
        <v>58</v>
      </c>
      <c r="B15" s="20">
        <f>B13*B14</f>
        <v>1592332532.957089</v>
      </c>
      <c r="C15" s="20">
        <f>C13*C14</f>
        <v>1512859530.0274796</v>
      </c>
      <c r="D15" s="20">
        <f>D13*D14</f>
        <v>1457966936.6429086</v>
      </c>
      <c r="E15" s="20">
        <f>E13*E14</f>
        <v>1406687340.1486063</v>
      </c>
      <c r="F15" s="20">
        <f>F13*F14</f>
        <v>1358777496.4926374</v>
      </c>
      <c r="G15" s="20">
        <f>G13*G14</f>
        <v>1314013984.9424148</v>
      </c>
      <c r="H15" s="20">
        <f>H13*H14</f>
        <v>1272191528.8874483</v>
      </c>
      <c r="I15" s="20">
        <f>I13*I14</f>
        <v>1233121474.236452</v>
      </c>
      <c r="J15" s="20">
        <f>J13*J14</f>
        <v>1196630410.0881455</v>
      </c>
      <c r="K15" s="20">
        <f>K13*K14</f>
        <v>1162558917.9471154</v>
      </c>
    </row>
    <row r="17" spans="1:2" x14ac:dyDescent="0.25">
      <c r="A17" s="22" t="s">
        <v>59</v>
      </c>
      <c r="B17" s="23">
        <f>SUM(B15:K15)</f>
        <v>13507140152.370296</v>
      </c>
    </row>
    <row r="19" spans="1:11" x14ac:dyDescent="0.25">
      <c r="A19" t="s">
        <v>7</v>
      </c>
      <c r="B19" s="9">
        <f>Assumptions!$B$10+($B$20-Assumptions!$B$10)*0/9</f>
        <v>0.11290103647387312</v>
      </c>
      <c r="C19" s="9">
        <f>Assumptions!$B$10+($B$20-Assumptions!$B$10)*1/9</f>
        <v>0.11099500768592696</v>
      </c>
      <c r="D19" s="9">
        <f>Assumptions!$B$10+($B$20-Assumptions!$B$10)*2/9</f>
        <v>0.10908897889798079</v>
      </c>
      <c r="E19" s="9">
        <f>Assumptions!$B$10+($B$20-Assumptions!$B$10)*3/9</f>
        <v>0.10718295011003463</v>
      </c>
      <c r="F19" s="9">
        <f>Assumptions!$B$10+($B$20-Assumptions!$B$10)*4/9</f>
        <v>0.10527692132208846</v>
      </c>
      <c r="G19" s="9">
        <f>Assumptions!$B$10+($B$20-Assumptions!$B$10)*5/9</f>
        <v>0.1033708925341423</v>
      </c>
      <c r="H19" s="9">
        <f>Assumptions!$B$10+($B$20-Assumptions!$B$10)*6/9</f>
        <v>0.10146486374619614</v>
      </c>
      <c r="I19" s="9">
        <f>Assumptions!$B$10+($B$20-Assumptions!$B$10)*7/9</f>
        <v>0.09955883495824998</v>
      </c>
      <c r="J19" s="9">
        <f>Assumptions!$B$10+($B$20-Assumptions!$B$10)*8/9</f>
        <v>0.09765280617030381</v>
      </c>
      <c r="K19" s="9">
        <f>Assumptions!$B$10+($B$20-Assumptions!$B$10)*9/9</f>
        <v>0.09574677738235765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0.09574677738235765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2105778928.8818057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2718240811.5470605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0.21040817229358935</v>
      </c>
    </row>
    <row r="7" spans="1:2" x14ac:dyDescent="0.25">
      <c r="A7" t="s">
        <v>66</v>
      </c>
      <c r="B7" s="18">
        <f>-MAX(B5,0)*B6</f>
        <v>-571940081.0114601</v>
      </c>
    </row>
    <row r="8" spans="1:2" x14ac:dyDescent="0.25">
      <c r="A8" t="s">
        <v>67</v>
      </c>
      <c r="B8" s="18">
        <f>IF(OR(Assumptions!$B$33=0,Assumptions!B12&lt;=0),B5,MAX(B5+B7,0))</f>
        <v>2146300730.5356004</v>
      </c>
    </row>
    <row r="9" spans="1:2" x14ac:dyDescent="0.25">
      <c r="A9" t="s">
        <v>68</v>
      </c>
      <c r="B9" s="18">
        <f>B8*(1+Assumptions!B12)/(Assumptions!B26-Assumptions!B12)</f>
        <v>55653710754.61071</v>
      </c>
    </row>
    <row r="10" spans="1:2" x14ac:dyDescent="0.25">
      <c r="A10" t="s">
        <v>69</v>
      </c>
      <c r="B10" s="18">
        <f>B9/(1+Assumptions!B26)^(10-0.5*Assumptions!B32)</f>
        <v>30725313501.44093</v>
      </c>
    </row>
    <row r="11" spans="1:2" x14ac:dyDescent="0.25">
      <c r="A11" t="s">
        <v>70</v>
      </c>
      <c r="B11" s="18">
        <f>Forecast!B17+B10</f>
        <v>44232453653.811226</v>
      </c>
    </row>
    <row r="12" spans="1:2" x14ac:dyDescent="0.25">
      <c r="A12" t="s">
        <v>71</v>
      </c>
      <c r="B12" s="18">
        <f>-Assumptions!B30</f>
        <v>-11100200000</v>
      </c>
    </row>
    <row r="13" spans="1:2" x14ac:dyDescent="0.25">
      <c r="A13" t="s">
        <v>72</v>
      </c>
      <c r="B13" s="18">
        <f>B11+B12</f>
        <v>33132253653.811226</v>
      </c>
    </row>
    <row r="14" spans="1:2" x14ac:dyDescent="0.25">
      <c r="A14" s="19" t="s">
        <v>73</v>
      </c>
      <c r="B14" s="24">
        <f>B13/Assumptions!B31</f>
        <v>188.71464990095703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3912159562.388219</v>
      </c>
    </row>
    <row r="18" spans="1:2" x14ac:dyDescent="0.25">
      <c r="A18" t="s">
        <v>68</v>
      </c>
      <c r="B18" s="18">
        <f>B17*Assumptions!B13</f>
        <v>40532198531.77062</v>
      </c>
    </row>
    <row r="19" spans="1:2" x14ac:dyDescent="0.25">
      <c r="A19" t="s">
        <v>69</v>
      </c>
      <c r="B19" s="18">
        <f>B18/(1+Assumptions!B26)^(10-0.5*Assumptions!B32)</f>
        <v>22377025537.117886</v>
      </c>
    </row>
    <row r="20" spans="1:2" x14ac:dyDescent="0.25">
      <c r="A20" t="s">
        <v>70</v>
      </c>
      <c r="B20" s="18">
        <f>Forecast!B17+B19</f>
        <v>35884165689.48818</v>
      </c>
    </row>
    <row r="21" spans="1:2" x14ac:dyDescent="0.25">
      <c r="A21" t="s">
        <v>71</v>
      </c>
      <c r="B21" s="18">
        <f>-Assumptions!B30</f>
        <v>-11100200000</v>
      </c>
    </row>
    <row r="22" spans="1:2" x14ac:dyDescent="0.25">
      <c r="A22" t="s">
        <v>72</v>
      </c>
      <c r="B22" s="18">
        <f>B20+B21</f>
        <v>24783965689.488182</v>
      </c>
    </row>
    <row r="23" spans="1:2" x14ac:dyDescent="0.25">
      <c r="A23" s="19" t="s">
        <v>73</v>
      </c>
      <c r="B23" s="25">
        <f>B22/Assumptions!B31</f>
        <v>141.16448150852196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135.33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188.71464990095703</v>
      </c>
    </row>
    <row r="29" spans="1:2" x14ac:dyDescent="0.25">
      <c r="A29" s="19" t="s">
        <v>81</v>
      </c>
      <c r="B29" s="11">
        <f>B28/B26-1</f>
        <v>0.3944775726073819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0.044529</v>
      </c>
      <c r="B5" s="31">
        <v>332.99628881548784</v>
      </c>
      <c r="C5" s="31">
        <v>377.28865417559933</v>
      </c>
      <c r="D5" s="31">
        <v>445.2085913740266</v>
      </c>
      <c r="E5" s="31">
        <v>561.1496290483038</v>
      </c>
      <c r="F5" s="31">
        <v>800.7038027884985</v>
      </c>
    </row>
    <row r="6" spans="1:6" x14ac:dyDescent="0.25">
      <c r="A6" s="30">
        <v>0.054529</v>
      </c>
      <c r="B6" s="31">
        <v>231.282523913388</v>
      </c>
      <c r="C6" s="31">
        <v>249.07818185552034</v>
      </c>
      <c r="D6" s="31">
        <v>273.4916887729009</v>
      </c>
      <c r="E6" s="31">
        <v>308.56999866401003</v>
      </c>
      <c r="F6" s="31">
        <v>362.50462387489347</v>
      </c>
    </row>
    <row r="7" spans="1:6" x14ac:dyDescent="0.25">
      <c r="A7" s="30">
        <v>0.064529</v>
      </c>
      <c r="B7" s="31">
        <v>170.7817661467377</v>
      </c>
      <c r="C7" s="31">
        <v>178.5572991558493</v>
      </c>
      <c r="D7" s="32">
        <v>188.71723360996612</v>
      </c>
      <c r="E7" s="31">
        <v>202.29739509555404</v>
      </c>
      <c r="F7" s="31">
        <v>221.03517415994162</v>
      </c>
    </row>
    <row r="8" spans="1:6" x14ac:dyDescent="0.25">
      <c r="A8" s="30">
        <v>0.074529</v>
      </c>
      <c r="B8" s="31">
        <v>130.71451802863157</v>
      </c>
      <c r="C8" s="31">
        <v>133.97957694981102</v>
      </c>
      <c r="D8" s="31">
        <v>138.21883603054442</v>
      </c>
      <c r="E8" s="31">
        <v>143.76046348465445</v>
      </c>
      <c r="F8" s="31">
        <v>151.09866674467543</v>
      </c>
    </row>
    <row r="9" spans="1:6" x14ac:dyDescent="0.25">
      <c r="A9" s="30">
        <v>0.084529</v>
      </c>
      <c r="B9" s="31">
        <v>102.25652539124128</v>
      </c>
      <c r="C9" s="31">
        <v>103.27807024713078</v>
      </c>
      <c r="D9" s="31">
        <v>104.7192521216958</v>
      </c>
      <c r="E9" s="31">
        <v>106.69550601796479</v>
      </c>
      <c r="F9" s="31">
        <v>109.36888003554722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9139000000</v>
      </c>
      <c r="C5" s="18">
        <v>10208700000</v>
      </c>
      <c r="D5" s="18">
        <v>9961800000</v>
      </c>
      <c r="E5" s="18">
        <v>9452600000</v>
      </c>
      <c r="F5" s="6" t="s">
        <v>91</v>
      </c>
    </row>
    <row r="6" spans="1:6" x14ac:dyDescent="0.25">
      <c r="A6" t="s">
        <v>51</v>
      </c>
      <c r="B6" s="18">
        <v>2863100000</v>
      </c>
      <c r="C6" s="18">
        <v>3364600000</v>
      </c>
      <c r="D6" s="18">
        <v>3184800000</v>
      </c>
      <c r="E6" s="18">
        <v>2840900000</v>
      </c>
      <c r="F6" s="6" t="s">
        <v>92</v>
      </c>
    </row>
    <row r="7" spans="1:6" x14ac:dyDescent="0.25">
      <c r="A7" t="s">
        <v>93</v>
      </c>
      <c r="B7" s="18">
        <v>418700000</v>
      </c>
      <c r="C7" s="18">
        <v>445700000</v>
      </c>
      <c r="D7" s="18">
        <v>427900000</v>
      </c>
      <c r="E7" s="18">
        <v>383800000</v>
      </c>
      <c r="F7" s="6" t="s">
        <v>94</v>
      </c>
    </row>
    <row r="8" spans="1:6" x14ac:dyDescent="0.25">
      <c r="A8" t="s">
        <v>95</v>
      </c>
      <c r="B8" s="18">
        <v>875000000</v>
      </c>
      <c r="C8" s="18">
        <v>1214100000</v>
      </c>
      <c r="D8" s="18">
        <v>1269100000</v>
      </c>
      <c r="E8" s="18">
        <v>1035400000</v>
      </c>
      <c r="F8" s="6" t="s">
        <v>96</v>
      </c>
    </row>
    <row r="9" spans="1:6" x14ac:dyDescent="0.25">
      <c r="A9" t="s">
        <v>97</v>
      </c>
      <c r="B9" s="18">
        <v>185200000</v>
      </c>
      <c r="C9" s="18">
        <v>134200000</v>
      </c>
      <c r="D9" s="18">
        <v>287800000</v>
      </c>
      <c r="E9" s="18">
        <v>274500000</v>
      </c>
      <c r="F9" s="6" t="s">
        <v>98</v>
      </c>
    </row>
    <row r="10" spans="1:6" x14ac:dyDescent="0.25">
      <c r="A10" t="s">
        <v>99</v>
      </c>
      <c r="B10" s="18">
        <v>11202600000</v>
      </c>
      <c r="C10" s="18">
        <v>12113500000</v>
      </c>
      <c r="D10" s="18">
        <v>12557600000</v>
      </c>
      <c r="E10" s="18">
        <v>12960100000</v>
      </c>
      <c r="F10" s="6" t="s">
        <v>100</v>
      </c>
    </row>
    <row r="11" spans="1:6" x14ac:dyDescent="0.25">
      <c r="A11" t="s">
        <v>101</v>
      </c>
      <c r="B11" s="18">
        <v>102400000</v>
      </c>
      <c r="C11" s="18">
        <v>68100000</v>
      </c>
      <c r="D11" s="18">
        <v>152400000</v>
      </c>
      <c r="E11" s="18">
        <v>133500000</v>
      </c>
      <c r="F11" s="6" t="s">
        <v>102</v>
      </c>
    </row>
    <row r="12" spans="1:6" x14ac:dyDescent="0.25">
      <c r="A12" t="s">
        <v>34</v>
      </c>
      <c r="B12" s="34">
        <v>175568000</v>
      </c>
      <c r="C12" s="34">
        <v>181476000</v>
      </c>
      <c r="D12" s="34">
        <v>183959000</v>
      </c>
      <c r="E12" s="34">
        <v>192543000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