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<sst xmlns="http://schemas.openxmlformats.org/spreadsheetml/2006/main" count="113" uniqueCount="101">
  <si>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Schneider Electric S.E. (SU.PA)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</si>
  <si>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</si>
  <si>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</si>
  <si>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</si>
  <si>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</si>
  <si>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</si>
  <si>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</si>
  <si>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</si>
  <si>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</si>
  <si>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</si>
  <si>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</si>
  <si>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</si>
  <si>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</si>
  <si>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</si>
  <si>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</si>
  <si>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</si>
  <si>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</si>
  <si>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</si>
  <si>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</si>
  <si>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</si>
  <si>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</si>
  <si>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</si>
  <si>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</si>
  <si>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</si>
  <si>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</si>
  <si>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</si>
  <si>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</si>
  <si>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</si>
  <si>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</si>
  <si>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</si>
  <si>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</si>
  <si>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</si>
  <si>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</si>
  <si>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</si>
  <si>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</si>
  <si>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</si>
  <si>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</si>
  <si>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</si>
  <si>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</si>
  <si>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</si>
  <si>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</si>
  <si>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</si>
  <si>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</si>
  <si>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</si>
  <si>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</si>
  <si>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</si>
  <si>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</si>
  <si>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</si>
  <si>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</si>
  <si>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</si>
  <si>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</si>
  <si>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</si>
  <si>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</si>
  <si>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</si>
  <si>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</si>
  <si>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</si>
  <si>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</si>
  <si>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</si>
  <si>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</si>
  <si>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</si>
  <si>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</si>
  <si>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</si>
  <si>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</si>
  <si>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</si>
  <si>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</si>
  <si>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</si>
  <si>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</si>
  <si>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</si>
  <si>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</si>
  <si>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</si>
  <si>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</si>
  <si>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</si>
  <si>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</si>
  <si>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</si>
  <si>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</si>
  <si>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</si>
  <si>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</si>
  <si>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</si>
  <si>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</si>
  <si>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</si>
  <si>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</si>
  <si>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</si>
  <si>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</si>
  <si>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</si>
  <si>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</si>
  <si>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</si>
  <si>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</si>
  <si>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</si>
  <si>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</si>
  <si>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</si>
  <si>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</si>
  <si>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</si>
  <si>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</si>
  <si>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</si>
  <si>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</si>
  <si>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</si>
  <si>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</si>
  <si>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</si>
  <si>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</si>
  <si>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Current EV/EBITDA of 20.1x sits outside a defensible 3-20x band, so the exit multiple is capped at 20.0x. A multiple that far out usually means EBITDA is the wrong denominator for this business.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</si>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</sst>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0.05518510129741738</v>
      </c>
    </row>
    <row r="7" spans="1:2" x14ac:dyDescent="0.25">
      <c r="A7" t="s">
        <v>5</v>
      </c>
      <c r="B7" s="6">
        <v>0.16889852893664495</v>
      </c>
    </row>
    <row r="8" spans="1:2" x14ac:dyDescent="0.25">
      <c r="A8" t="s">
        <v>6</v>
      </c>
      <c r="B8" s="6">
        <v>0.23663386396266728</v>
      </c>
    </row>
    <row r="9" spans="1:2" x14ac:dyDescent="0.25">
      <c r="A9" t="s">
        <v>7</v>
      </c>
      <c r="B9" s="6">
        <v>0.041371263544946815</v>
      </c>
    </row>
    <row r="10" spans="1:2" x14ac:dyDescent="0.25">
      <c r="A10" t="s">
        <v>8</v>
      </c>
      <c r="B10" s="6">
        <v>0.03640575012524787</v>
      </c>
    </row>
    <row r="11" spans="1:2" x14ac:dyDescent="0.25">
      <c r="A11" t="s">
        <v>9</v>
      </c>
      <c r="B11" s="6">
        <v>0.30865432716358177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0.11546220409087989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1.0998299999999999</v>
      </c>
      <c r="C19" s="8" t="s">
        <v>19</v>
      </c>
    </row>
    <row r="20" spans="1:2" x14ac:dyDescent="0.25">
      <c r="A20" t="s">
        <v>20</v>
      </c>
      <c r="B20" s="10">
        <f>B17+B19*B18</f>
        <v>0.09798979999999999</v>
      </c>
    </row>
    <row r="21" spans="1:3" x14ac:dyDescent="0.25">
      <c r="A21" t="s">
        <v>21</v>
      </c>
      <c r="B21" s="6">
        <v>0.033016416495979944</v>
      </c>
      <c r="C21" s="8" t="s">
        <v>22</v>
      </c>
    </row>
    <row r="22" spans="1:2" x14ac:dyDescent="0.25">
      <c r="A22" t="s">
        <v>23</v>
      </c>
      <c r="B22" s="11">
        <v>160963313664</v>
      </c>
    </row>
    <row r="23" spans="1:2" x14ac:dyDescent="0.25">
      <c r="A23" t="s">
        <v>24</v>
      </c>
      <c r="B23" s="11">
        <v>17880000000</v>
      </c>
    </row>
    <row r="24" spans="1:2" x14ac:dyDescent="0.25">
      <c r="A24" t="s">
        <v>25</v>
      </c>
      <c r="B24" s="10">
        <f>B22/(B22+B23)</f>
        <v>0.9000242187773826</v>
      </c>
    </row>
    <row r="25" spans="1:2" x14ac:dyDescent="0.25">
      <c r="A25" t="s">
        <v>26</v>
      </c>
      <c r="B25" s="10">
        <f>1-B24</f>
        <v>0.09997578122261741</v>
      </c>
    </row>
    <row r="26" spans="1:2" x14ac:dyDescent="0.25">
      <c r="A26" t="s">
        <v>27</v>
      </c>
      <c r="B26" s="12">
        <f>B24*B20+B25*B21*(1-B8)</f>
        <v>0.09071294422106187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40152000000</v>
      </c>
      <c r="C29" s="8" t="s">
        <v>30</v>
      </c>
    </row>
    <row r="30" spans="1:2" x14ac:dyDescent="0.25">
      <c r="A30" t="s">
        <v>31</v>
      </c>
      <c r="B30" s="11">
        <v>13246000000</v>
      </c>
    </row>
    <row r="31" spans="1:2" x14ac:dyDescent="0.25">
      <c r="A31" t="s">
        <v>32</v>
      </c>
      <c r="B31" s="13">
        <v>562186000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0.05518510129741738</v>
      </c>
      <c r="C5" s="10">
        <f>Assumptions!B6</f>
        <v>0.05518510129741738</v>
      </c>
      <c r="D5" s="10">
        <f>Assumptions!B6</f>
        <v>0.05518510129741738</v>
      </c>
      <c r="E5" s="10">
        <f>Assumptions!B6</f>
        <v>0.05518510129741738</v>
      </c>
      <c r="F5" s="10">
        <f>Assumptions!B6</f>
        <v>0.05518510129741738</v>
      </c>
    </row>
    <row r="6" spans="1:6" x14ac:dyDescent="0.25">
      <c r="A6" t="s">
        <v>43</v>
      </c>
      <c r="B6" s="18">
        <f>Assumptions!B29*(1+B5)</f>
        <v>42367792187.2939</v>
      </c>
      <c r="C6" s="18">
        <f>B6*(1+C5)</f>
        <v>44705863090.897644</v>
      </c>
      <c r="D6" s="18">
        <f>C6*(1+D5)</f>
        <v>47172960674.1573</v>
      </c>
      <c r="E6" s="18">
        <f>D6*(1+E5)</f>
        <v>49776205287.45976</v>
      </c>
      <c r="F6" s="18">
        <f>E6*(1+F5)</f>
        <v>52523110218.44927</v>
      </c>
    </row>
    <row r="7" spans="1:6" x14ac:dyDescent="0.25">
      <c r="A7" t="s">
        <v>5</v>
      </c>
      <c r="B7" s="10">
        <f>Assumptions!B7</f>
        <v>0.16889852893664495</v>
      </c>
      <c r="C7" s="10">
        <f>Assumptions!B7</f>
        <v>0.16889852893664495</v>
      </c>
      <c r="D7" s="10">
        <f>Assumptions!B7</f>
        <v>0.16889852893664495</v>
      </c>
      <c r="E7" s="10">
        <f>Assumptions!B7</f>
        <v>0.16889852893664495</v>
      </c>
      <c r="F7" s="10">
        <f>Assumptions!B7</f>
        <v>0.16889852893664495</v>
      </c>
    </row>
    <row r="8" spans="1:6" x14ac:dyDescent="0.25">
      <c r="A8" t="s">
        <v>44</v>
      </c>
      <c r="B8" s="18">
        <f>B6*B7</f>
        <v>7155857774.727419</v>
      </c>
      <c r="C8" s="18">
        <f>C6*C7</f>
        <v>7550754510.895663</v>
      </c>
      <c r="D8" s="18">
        <f>D6*D7</f>
        <v>7967443663.451371</v>
      </c>
      <c r="E8" s="18">
        <f>E6*E7</f>
        <v>8407127849.100402</v>
      </c>
      <c r="F8" s="18">
        <f>F6*F7</f>
        <v>8871076051.073347</v>
      </c>
    </row>
    <row r="9" spans="1:6" x14ac:dyDescent="0.25">
      <c r="A9" t="s">
        <v>45</v>
      </c>
      <c r="B9" s="18">
        <f>B8*(1-Assumptions!B8)</f>
        <v>5462539499.526376</v>
      </c>
      <c r="C9" s="18">
        <f>C8*(1-Assumptions!B8)</f>
        <v>5763990295.148883</v>
      </c>
      <c r="D9" s="18">
        <f>D8*(1-Assumptions!B8)</f>
        <v>6082076683.464004</v>
      </c>
      <c r="E9" s="18">
        <f>E8*(1-Assumptions!B8)</f>
        <v>6417716701.339625</v>
      </c>
      <c r="F9" s="18">
        <f>F8*(1-Assumptions!B8)</f>
        <v>6771879047.601181</v>
      </c>
    </row>
    <row r="10" spans="1:6" x14ac:dyDescent="0.25">
      <c r="A10" t="s">
        <v>46</v>
      </c>
      <c r="B10" s="18">
        <f>B6*Assumptions!B9</f>
        <v>1752809096.3980746</v>
      </c>
      <c r="C10" s="18">
        <f>C6*Assumptions!B9</f>
        <v>1849538043.9378371</v>
      </c>
      <c r="D10" s="18">
        <f>D6*Assumptions!B9</f>
        <v>1951604988.2459738</v>
      </c>
      <c r="E10" s="18">
        <f>E6*Assumptions!B9</f>
        <v>2059304507.214873</v>
      </c>
      <c r="F10" s="18">
        <f>F6*Assumptions!B9</f>
        <v>2172947435.047754</v>
      </c>
    </row>
    <row r="11" spans="1:6" x14ac:dyDescent="0.25">
      <c r="A11" t="s">
        <v>47</v>
      </c>
      <c r="B11" s="18">
        <f>-B6*Assumptions!B10</f>
        <v>-1542431255.7290506</v>
      </c>
      <c r="C11" s="18">
        <f>-C6*Assumptions!B10</f>
        <v>-1627550480.820761</v>
      </c>
      <c r="D11" s="18">
        <f>-D6*Assumptions!B10</f>
        <v>-1717367018.971515</v>
      </c>
      <c r="E11" s="18">
        <f>-E6*Assumptions!B10</f>
        <v>-1812140091.8783019</v>
      </c>
      <c r="F11" s="18">
        <f>-F6*Assumptions!B10</f>
        <v>-1912143226.4137173</v>
      </c>
    </row>
    <row r="12" spans="1:6" x14ac:dyDescent="0.25">
      <c r="A12" t="s">
        <v>48</v>
      </c>
      <c r="B12" s="18">
        <f>-(B6-Assumptions!B29)*Assumptions!B11</f>
        <v>-683913846.7035197</v>
      </c>
      <c r="C12" s="18">
        <f>-(C6-B6)*Assumptions!B11</f>
        <v>-721655701.6125613</v>
      </c>
      <c r="D12" s="18">
        <f>-(D6-C6)*Assumptions!B11</f>
        <v>-761480344.6079086</v>
      </c>
      <c r="E12" s="18">
        <f>-(E6-D6)*Assumptions!B11</f>
        <v>-803502714.5610893</v>
      </c>
      <c r="F12" s="18">
        <f>-(F6-E6)*Assumptions!B11</f>
        <v>-847844093.2568921</v>
      </c>
    </row>
    <row r="13" spans="1:6" x14ac:dyDescent="0.25">
      <c r="A13" s="19" t="s">
        <v>49</v>
      </c>
      <c r="B13" s="20">
        <f>B9+B10+B11+B12</f>
        <v>4989003493.491879</v>
      </c>
      <c r="C13" s="20">
        <f>C9+C10+C11+C12</f>
        <v>5264322156.653398</v>
      </c>
      <c r="D13" s="20">
        <f>D9+D10+D11+D12</f>
        <v>5554834308.130554</v>
      </c>
      <c r="E13" s="20">
        <f>E9+E10+E11+E12</f>
        <v>5861378402.115108</v>
      </c>
      <c r="F13" s="20">
        <f>F9+F10+F11+F12</f>
        <v>6184839162.978326</v>
      </c>
    </row>
    <row r="14" spans="1:6" x14ac:dyDescent="0.25">
      <c r="A14" t="s">
        <v>50</v>
      </c>
      <c r="B14" s="21">
        <f>1/(1+Assumptions!$B$26)^(1-0.5*Assumptions!$B$32)</f>
        <v>0.9575131926033921</v>
      </c>
      <c r="C14" s="21">
        <f>1/(1+Assumptions!$B$26)^(2-0.5*Assumptions!$B$32)</f>
        <v>0.877878270058677</v>
      </c>
      <c r="D14" s="21">
        <f>1/(1+Assumptions!$B$26)^(3-0.5*Assumptions!$B$32)</f>
        <v>0.8048664634539735</v>
      </c>
      <c r="E14" s="21">
        <f>1/(1+Assumptions!$B$26)^(4-0.5*Assumptions!$B$32)</f>
        <v>0.7379269382640112</v>
      </c>
      <c r="F14" s="21">
        <f>1/(1+Assumptions!$B$26)^(5-0.5*Assumptions!$B$32)</f>
        <v>0.6765546720370182</v>
      </c>
    </row>
    <row r="15" spans="1:6" x14ac:dyDescent="0.25">
      <c r="A15" s="19" t="s">
        <v>51</v>
      </c>
      <c r="B15" s="20">
        <f>B13*B14</f>
        <v>4777036662.962886</v>
      </c>
      <c r="C15" s="20">
        <f>C13*C14</f>
        <v>4621434027.914449</v>
      </c>
      <c r="D15" s="20">
        <f>D13*D14</f>
        <v>4470899844.657839</v>
      </c>
      <c r="E15" s="20">
        <f>E13*E14</f>
        <v>4325269018.279604</v>
      </c>
      <c r="F15" s="20">
        <f>F13*F14</f>
        <v>4184381831.5105076</v>
      </c>
    </row>
    <row r="17" spans="1:2" x14ac:dyDescent="0.25">
      <c r="A17" s="22" t="s">
        <v>52</v>
      </c>
      <c r="B17" s="23">
        <f>SUM(B15:F15)</f>
        <v>22379021385.325287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6184839162.978326</v>
      </c>
    </row>
    <row r="5" spans="1:2" x14ac:dyDescent="0.25">
      <c r="A5" t="s">
        <v>56</v>
      </c>
      <c r="B5" s="18">
        <f>IF(Assumptions!$B$33=0,B4,B4-Forecast!F11-Forecast!F10-Forecast!F12)</f>
        <v>7569829081.949405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0.2165210702224478</v>
      </c>
    </row>
    <row r="7" spans="1:2" x14ac:dyDescent="0.25">
      <c r="A7" t="s">
        <v>58</v>
      </c>
      <c r="B7" s="18">
        <f>-MAX(Forecast!F9,0)*B6</f>
        <v>-1639027494.2246945</v>
      </c>
    </row>
    <row r="8" spans="1:2" x14ac:dyDescent="0.25">
      <c r="A8" t="s">
        <v>59</v>
      </c>
      <c r="B8" s="18">
        <f>IF(OR(Assumptions!$B$33=0,Assumptions!B12&lt;=0),B5,MAX(B5+B7,0))</f>
        <v>5930801587.72471</v>
      </c>
    </row>
    <row r="9" spans="1:2" x14ac:dyDescent="0.25">
      <c r="A9" t="s">
        <v>60</v>
      </c>
      <c r="B9" s="18">
        <f>B8*(1+Assumptions!B12)/(Assumptions!B26-Assumptions!B12)</f>
        <v>92509500213.0403</v>
      </c>
    </row>
    <row r="10" spans="1:2" x14ac:dyDescent="0.25">
      <c r="A10" t="s">
        <v>61</v>
      </c>
      <c r="B10" s="18">
        <f>B9/(1+Assumptions!B26)^(5-0.5*Assumptions!B32)</f>
        <v>62587734576.94195</v>
      </c>
    </row>
    <row r="11" spans="1:2" x14ac:dyDescent="0.25">
      <c r="A11" t="s">
        <v>62</v>
      </c>
      <c r="B11" s="18">
        <f>Forecast!B17+B10</f>
        <v>84966755962.26724</v>
      </c>
    </row>
    <row r="12" spans="1:2" x14ac:dyDescent="0.25">
      <c r="A12" t="s">
        <v>63</v>
      </c>
      <c r="B12" s="18">
        <f>-Assumptions!B30</f>
        <v>-13246000000</v>
      </c>
    </row>
    <row r="13" spans="1:2" x14ac:dyDescent="0.25">
      <c r="A13" t="s">
        <v>64</v>
      </c>
      <c r="B13" s="18">
        <f>B11+B12</f>
        <v>71720755962.26724</v>
      </c>
    </row>
    <row r="14" spans="1:2" x14ac:dyDescent="0.25">
      <c r="A14" s="19" t="s">
        <v>65</v>
      </c>
      <c r="B14" s="24">
        <f>B13/Assumptions!B31</f>
        <v>127.57478123302117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11044023486.121101</v>
      </c>
    </row>
    <row r="18" spans="1:2" x14ac:dyDescent="0.25">
      <c r="A18" t="s">
        <v>60</v>
      </c>
      <c r="B18" s="18">
        <f>B17*Assumptions!B13</f>
        <v>220880469722.42203</v>
      </c>
    </row>
    <row r="19" spans="1:2" x14ac:dyDescent="0.25">
      <c r="A19" t="s">
        <v>61</v>
      </c>
      <c r="B19" s="18">
        <f>B18/(1+Assumptions!B26)^(5-0.5*Assumptions!B32)</f>
        <v>149437713752.43576</v>
      </c>
    </row>
    <row r="20" spans="1:2" x14ac:dyDescent="0.25">
      <c r="A20" t="s">
        <v>62</v>
      </c>
      <c r="B20" s="18">
        <f>Forecast!B17+B19</f>
        <v>171816735137.76105</v>
      </c>
    </row>
    <row r="21" spans="1:2" x14ac:dyDescent="0.25">
      <c r="A21" t="s">
        <v>63</v>
      </c>
      <c r="B21" s="18">
        <f>-Assumptions!B30</f>
        <v>-13246000000</v>
      </c>
    </row>
    <row r="22" spans="1:2" x14ac:dyDescent="0.25">
      <c r="A22" t="s">
        <v>64</v>
      </c>
      <c r="B22" s="18">
        <f>B20+B21</f>
        <v>158570735137.76105</v>
      </c>
    </row>
    <row r="23" spans="1:2" x14ac:dyDescent="0.25">
      <c r="A23" s="19" t="s">
        <v>65</v>
      </c>
      <c r="B23" s="25">
        <f>B22/Assumptions!B31</f>
        <v>282.0609818418834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285.75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127.57478123302117</v>
      </c>
    </row>
    <row r="29" spans="1:2" x14ac:dyDescent="0.25">
      <c r="A29" s="19" t="s">
        <v>73</v>
      </c>
      <c r="B29" s="12">
        <f>B28/B26-1</f>
        <v>-0.5535440726753416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0.070713</v>
      </c>
      <c r="B5" s="31">
        <v>175.03953184230065</v>
      </c>
      <c r="C5" s="31">
        <v>182.7392141624167</v>
      </c>
      <c r="D5" s="31">
        <v>192.02945696352452</v>
      </c>
      <c r="E5" s="31">
        <v>203.49627471802566</v>
      </c>
      <c r="F5" s="31">
        <v>218.05386181734315</v>
      </c>
    </row>
    <row r="6" spans="1:6" x14ac:dyDescent="0.25">
      <c r="A6" s="30">
        <v>0.080713</v>
      </c>
      <c r="B6" s="31">
        <v>144.76208277662826</v>
      </c>
      <c r="C6" s="31">
        <v>149.04372263889738</v>
      </c>
      <c r="D6" s="31">
        <v>154.0200751764451</v>
      </c>
      <c r="E6" s="31">
        <v>159.8966239956283</v>
      </c>
      <c r="F6" s="31">
        <v>166.96875430906775</v>
      </c>
    </row>
    <row r="7" spans="1:6" x14ac:dyDescent="0.25">
      <c r="A7" s="30">
        <v>0.090713</v>
      </c>
      <c r="B7" s="31">
        <v>122.50492943649334</v>
      </c>
      <c r="C7" s="31">
        <v>124.88845070867394</v>
      </c>
      <c r="D7" s="32">
        <v>127.5746561591338</v>
      </c>
      <c r="E7" s="31">
        <v>130.63832816848645</v>
      </c>
      <c r="F7" s="31">
        <v>134.18109469400204</v>
      </c>
    </row>
    <row r="8" spans="1:6" x14ac:dyDescent="0.25">
      <c r="A8" s="30">
        <v>0.100713</v>
      </c>
      <c r="B8" s="31">
        <v>105.45981295898046</v>
      </c>
      <c r="C8" s="31">
        <v>106.72692786618241</v>
      </c>
      <c r="D8" s="31">
        <v>108.11139323920041</v>
      </c>
      <c r="E8" s="31">
        <v>109.63810205368603</v>
      </c>
      <c r="F8" s="31">
        <v>111.33952355654638</v>
      </c>
    </row>
    <row r="9" spans="1:6" x14ac:dyDescent="0.25">
      <c r="A9" s="30">
        <v>0.110713</v>
      </c>
      <c r="B9" s="31">
        <v>91.99215364558862</v>
      </c>
      <c r="C9" s="31">
        <v>92.57652972152981</v>
      </c>
      <c r="D9" s="31">
        <v>93.18667276999896</v>
      </c>
      <c r="E9" s="31">
        <v>93.82737141969184</v>
      </c>
      <c r="F9" s="31">
        <v>94.50467924157188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40152000000</v>
      </c>
      <c r="C5" s="18">
        <v>38153000000</v>
      </c>
      <c r="D5" s="18">
        <v>35902000000</v>
      </c>
      <c r="E5" s="18">
        <v>34176000000</v>
      </c>
      <c r="F5" s="8" t="s">
        <v>84</v>
      </c>
    </row>
    <row r="6" spans="1:6" x14ac:dyDescent="0.25">
      <c r="A6" t="s">
        <v>44</v>
      </c>
      <c r="B6" s="18">
        <v>7010000000</v>
      </c>
      <c r="C6" s="18">
        <v>6570000000</v>
      </c>
      <c r="D6" s="18">
        <v>5964000000</v>
      </c>
      <c r="E6" s="18">
        <v>5560000000</v>
      </c>
      <c r="F6" s="8" t="s">
        <v>85</v>
      </c>
    </row>
    <row r="7" spans="1:6" x14ac:dyDescent="0.25">
      <c r="A7" t="s">
        <v>86</v>
      </c>
      <c r="B7" s="18">
        <v>1652000000</v>
      </c>
      <c r="C7" s="18">
        <v>1538000000</v>
      </c>
      <c r="D7" s="18">
        <v>1460000000</v>
      </c>
      <c r="E7" s="18">
        <v>1482000000</v>
      </c>
      <c r="F7" s="8" t="s">
        <v>87</v>
      </c>
    </row>
    <row r="8" spans="1:6" x14ac:dyDescent="0.25">
      <c r="A8" t="s">
        <v>88</v>
      </c>
      <c r="B8" s="18">
        <v>1543000000</v>
      </c>
      <c r="C8" s="18">
        <v>1419000000</v>
      </c>
      <c r="D8" s="18">
        <v>1365000000</v>
      </c>
      <c r="E8" s="18">
        <v>1093000000</v>
      </c>
      <c r="F8" s="8" t="s">
        <v>89</v>
      </c>
    </row>
    <row r="9" spans="1:6" x14ac:dyDescent="0.25">
      <c r="A9" t="s">
        <v>90</v>
      </c>
      <c r="B9" s="18">
        <v>617000000</v>
      </c>
      <c r="C9" s="18">
        <v>728000000</v>
      </c>
      <c r="D9" s="18">
        <v>-378000000</v>
      </c>
      <c r="E9" s="18">
        <v>1039000000</v>
      </c>
      <c r="F9" s="8" t="s">
        <v>91</v>
      </c>
    </row>
    <row r="10" spans="1:6" x14ac:dyDescent="0.25">
      <c r="A10" t="s">
        <v>92</v>
      </c>
      <c r="B10" s="18">
        <v>17880000000</v>
      </c>
      <c r="C10" s="18">
        <v>14831000000</v>
      </c>
      <c r="D10" s="18">
        <v>13933000000</v>
      </c>
      <c r="E10" s="18">
        <v>10463000000</v>
      </c>
      <c r="F10" s="8" t="s">
        <v>93</v>
      </c>
    </row>
    <row r="11" spans="1:6" x14ac:dyDescent="0.25">
      <c r="A11" t="s">
        <v>94</v>
      </c>
      <c r="B11" s="18">
        <v>4634000000</v>
      </c>
      <c r="C11" s="18">
        <v>6887000000</v>
      </c>
      <c r="D11" s="18">
        <v>4696000000</v>
      </c>
      <c r="E11" s="18">
        <v>3986000000</v>
      </c>
      <c r="F11" s="8" t="s">
        <v>95</v>
      </c>
    </row>
    <row r="12" spans="1:6" x14ac:dyDescent="0.25">
      <c r="A12" t="s">
        <v>32</v>
      </c>
      <c r="B12" s="34">
        <v>562186000</v>
      </c>
      <c r="C12" s="34">
        <v>560971685</v>
      </c>
      <c r="D12" s="34">
        <v>566588000</v>
      </c>
      <c r="E12" s="34">
        <v>565161000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2026-09-19T00:08:38Z</dcterms:modified>
</cp:coreProperties>
</file>