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<sst xmlns="http://schemas.openxmlformats.org/spreadsheetml/2006/main" count="112" uniqueCount="100">
  <si>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Suncor Energy Inc. (SU.TO)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</si>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</sst>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-0.05923630668082114</v>
      </c>
    </row>
    <row r="7" spans="1:2" x14ac:dyDescent="0.25">
      <c r="A7" t="s">
        <v>5</v>
      </c>
      <c r="B7" s="6">
        <v>0.17753111790469206</v>
      </c>
    </row>
    <row r="8" spans="1:2" x14ac:dyDescent="0.25">
      <c r="A8" t="s">
        <v>6</v>
      </c>
      <c r="B8" s="6">
        <v>0.25920069849932326</v>
      </c>
    </row>
    <row r="9" spans="1:2" x14ac:dyDescent="0.25">
      <c r="A9" t="s">
        <v>7</v>
      </c>
      <c r="B9" s="6">
        <v>0.13042034887015766</v>
      </c>
    </row>
    <row r="10" spans="1:2" x14ac:dyDescent="0.25">
      <c r="A10" t="s">
        <v>8</v>
      </c>
      <c r="B10" s="6">
        <v>0.10625662698488329</v>
      </c>
    </row>
    <row r="11" spans="1:2" x14ac:dyDescent="0.25">
      <c r="A11" t="s">
        <v>9</v>
      </c>
      <c r="B11" s="6">
        <v>-0.09167367535744322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8.416105217356314</v>
      </c>
    </row>
    <row r="14" spans="1:3" x14ac:dyDescent="0.25">
      <c r="A14" t="s">
        <v>12</v>
      </c>
      <c r="B14" s="6">
        <v>0.12145114693122999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0.70252</v>
      </c>
      <c r="C19" s="8" t="s">
        <v>19</v>
      </c>
    </row>
    <row r="20" spans="1:2" x14ac:dyDescent="0.25">
      <c r="A20" t="s">
        <v>20</v>
      </c>
      <c r="B20" s="10">
        <f>B17+B19*B18</f>
        <v>0.0716386</v>
      </c>
    </row>
    <row r="21" spans="1:3" x14ac:dyDescent="0.25">
      <c r="A21" t="s">
        <v>21</v>
      </c>
      <c r="B21" s="6">
        <v>0.05090261364025622</v>
      </c>
      <c r="C21" s="8" t="s">
        <v>22</v>
      </c>
    </row>
    <row r="22" spans="1:2" x14ac:dyDescent="0.25">
      <c r="A22" t="s">
        <v>23</v>
      </c>
      <c r="B22" s="11">
        <v>114638544896</v>
      </c>
    </row>
    <row r="23" spans="1:2" x14ac:dyDescent="0.25">
      <c r="A23" t="s">
        <v>24</v>
      </c>
      <c r="B23" s="11">
        <v>14504000000</v>
      </c>
    </row>
    <row r="24" spans="1:2" x14ac:dyDescent="0.25">
      <c r="A24" t="s">
        <v>25</v>
      </c>
      <c r="B24" s="10">
        <f>B22/(B22+B23)</f>
        <v>0.8876899939390211</v>
      </c>
    </row>
    <row r="25" spans="1:2" x14ac:dyDescent="0.25">
      <c r="A25" t="s">
        <v>26</v>
      </c>
      <c r="B25" s="10">
        <f>1-B24</f>
        <v>0.11231000606097885</v>
      </c>
    </row>
    <row r="26" spans="1:2" x14ac:dyDescent="0.25">
      <c r="A26" t="s">
        <v>27</v>
      </c>
      <c r="B26" s="12">
        <f>B24*B20+B25*B21*(1-B8)</f>
        <v>0.06782792381122336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52377000000</v>
      </c>
      <c r="C29" s="8" t="s">
        <v>30</v>
      </c>
    </row>
    <row r="30" spans="1:2" x14ac:dyDescent="0.25">
      <c r="A30" t="s">
        <v>31</v>
      </c>
      <c r="B30" s="11">
        <v>10854000000</v>
      </c>
    </row>
    <row r="31" spans="1:2" x14ac:dyDescent="0.25">
      <c r="A31" t="s">
        <v>32</v>
      </c>
      <c r="B31" s="13">
        <v>1220000000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-0.05923630668082114</v>
      </c>
      <c r="C5" s="10">
        <f>Assumptions!B6</f>
        <v>-0.05923630668082114</v>
      </c>
      <c r="D5" s="10">
        <f>Assumptions!B6</f>
        <v>-0.05923630668082114</v>
      </c>
      <c r="E5" s="10">
        <f>Assumptions!B6</f>
        <v>-0.05923630668082114</v>
      </c>
      <c r="F5" s="10">
        <f>Assumptions!B6</f>
        <v>-0.05923630668082114</v>
      </c>
    </row>
    <row r="6" spans="1:6" x14ac:dyDescent="0.25">
      <c r="A6" t="s">
        <v>43</v>
      </c>
      <c r="B6" s="18">
        <f>Assumptions!B29*(1+B5)</f>
        <v>49274379964.97863</v>
      </c>
      <c r="C6" s="18">
        <f>B6*(1+C5)</f>
        <v>46355547681.865845</v>
      </c>
      <c r="D6" s="18">
        <f>C6*(1+D5)</f>
        <v>43609616243.02541</v>
      </c>
      <c r="E6" s="18">
        <f>D6*(1+E5)</f>
        <v>41026343641.02064</v>
      </c>
      <c r="F6" s="18">
        <f>E6*(1+F5)</f>
        <v>38596094567.10838</v>
      </c>
    </row>
    <row r="7" spans="1:6" x14ac:dyDescent="0.25">
      <c r="A7" t="s">
        <v>5</v>
      </c>
      <c r="B7" s="10">
        <f>Assumptions!B7</f>
        <v>0.17753111790469206</v>
      </c>
      <c r="C7" s="10">
        <f>Assumptions!B7</f>
        <v>0.17753111790469206</v>
      </c>
      <c r="D7" s="10">
        <f>Assumptions!B7</f>
        <v>0.17753111790469206</v>
      </c>
      <c r="E7" s="10">
        <f>Assumptions!B7</f>
        <v>0.17753111790469206</v>
      </c>
      <c r="F7" s="10">
        <f>Assumptions!B7</f>
        <v>0.17753111790469206</v>
      </c>
    </row>
    <row r="8" spans="1:6" x14ac:dyDescent="0.25">
      <c r="A8" t="s">
        <v>44</v>
      </c>
      <c r="B8" s="18">
        <f>B6*B7</f>
        <v>8747735759.243217</v>
      </c>
      <c r="C8" s="18">
        <f>C6*C7</f>
        <v>8229552201.0459</v>
      </c>
      <c r="D8" s="18">
        <f>D6*D7</f>
        <v>7742063923.018919</v>
      </c>
      <c r="E8" s="18">
        <f>E6*E7</f>
        <v>7283452650.132448</v>
      </c>
      <c r="F8" s="18">
        <f>F6*F7</f>
        <v>6852007815.253963</v>
      </c>
    </row>
    <row r="9" spans="1:6" x14ac:dyDescent="0.25">
      <c r="A9" t="s">
        <v>45</v>
      </c>
      <c r="B9" s="18">
        <f>B8*(1-Assumptions!B8)</f>
        <v>6480316540.159867</v>
      </c>
      <c r="C9" s="18">
        <f>C8*(1-Assumptions!B8)</f>
        <v>6096446522.19816</v>
      </c>
      <c r="D9" s="18">
        <f>D8*(1-Assumptions!B8)</f>
        <v>5735315546.3460045</v>
      </c>
      <c r="E9" s="18">
        <f>E8*(1-Assumptions!B8)</f>
        <v>5395576635.731371</v>
      </c>
      <c r="F9" s="18">
        <f>F8*(1-Assumptions!B8)</f>
        <v>5075962603.417315</v>
      </c>
    </row>
    <row r="10" spans="1:6" x14ac:dyDescent="0.25">
      <c r="A10" t="s">
        <v>46</v>
      </c>
      <c r="B10" s="18">
        <f>B6*Assumptions!B9</f>
        <v>6426381825.39322</v>
      </c>
      <c r="C10" s="18">
        <f>C6*Assumptions!B9</f>
        <v>6045706700.736172</v>
      </c>
      <c r="D10" s="18">
        <f>D6*Assumptions!B9</f>
        <v>5687581364.5090685</v>
      </c>
      <c r="E10" s="18">
        <f>E6*Assumptions!B9</f>
        <v>5350670050.528886</v>
      </c>
      <c r="F10" s="18">
        <f>F6*Assumptions!B9</f>
        <v>5033716118.467872</v>
      </c>
    </row>
    <row r="11" spans="1:6" x14ac:dyDescent="0.25">
      <c r="A11" t="s">
        <v>47</v>
      </c>
      <c r="B11" s="18">
        <f>-B6*Assumptions!B10</f>
        <v>-5235729411.850141</v>
      </c>
      <c r="C11" s="18">
        <f>-C6*Assumptions!B10</f>
        <v>-4925584138.71199</v>
      </c>
      <c r="D11" s="18">
        <f>-D6*Assumptions!B10</f>
        <v>-4633810726.089059</v>
      </c>
      <c r="E11" s="18">
        <f>-E6*Assumptions!B10</f>
        <v>-4359320892.817569</v>
      </c>
      <c r="F11" s="18">
        <f>-F6*Assumptions!B10</f>
        <v>-4101090823.490516</v>
      </c>
    </row>
    <row r="12" spans="1:6" x14ac:dyDescent="0.25">
      <c r="A12" t="s">
        <v>48</v>
      </c>
      <c r="B12" s="18">
        <f>-(B6-Assumptions!B29)*Assumptions!B11</f>
        <v>-284428581.8480482</v>
      </c>
      <c r="C12" s="18">
        <f>-(C6-B6)*Assumptions!B11</f>
        <v>-267580083.14490628</v>
      </c>
      <c r="D12" s="18">
        <f>-(D6-C6)*Assumptions!B11</f>
        <v>-251729627.27805465</v>
      </c>
      <c r="E12" s="18">
        <f>-(E6-D6)*Assumptions!B11</f>
        <v>-236818093.87596348</v>
      </c>
      <c r="F12" s="18">
        <f>-(F6-E6)*Assumptions!B11</f>
        <v>-222789864.63955906</v>
      </c>
    </row>
    <row r="13" spans="1:6" x14ac:dyDescent="0.25">
      <c r="A13" s="19" t="s">
        <v>49</v>
      </c>
      <c r="B13" s="20">
        <f>B9+B10+B11+B12</f>
        <v>7386540371.854898</v>
      </c>
      <c r="C13" s="20">
        <f>C9+C10+C11+C12</f>
        <v>6948989001.0774355</v>
      </c>
      <c r="D13" s="20">
        <f>D9+D10+D11+D12</f>
        <v>6537356557.487959</v>
      </c>
      <c r="E13" s="20">
        <f>E9+E10+E11+E12</f>
        <v>6150107699.566726</v>
      </c>
      <c r="F13" s="20">
        <f>F9+F10+F11+F12</f>
        <v>5785798033.75511</v>
      </c>
    </row>
    <row r="14" spans="1:6" x14ac:dyDescent="0.25">
      <c r="A14" t="s">
        <v>50</v>
      </c>
      <c r="B14" s="21">
        <f>1/(1+Assumptions!$B$26)^(1-0.5*Assumptions!$B$32)</f>
        <v>0.9677192122584674</v>
      </c>
      <c r="C14" s="21">
        <f>1/(1+Assumptions!$B$26)^(2-0.5*Assumptions!$B$32)</f>
        <v>0.9062501463761554</v>
      </c>
      <c r="D14" s="21">
        <f>1/(1+Assumptions!$B$26)^(3-0.5*Assumptions!$B$32)</f>
        <v>0.8486855664362336</v>
      </c>
      <c r="E14" s="21">
        <f>1/(1+Assumptions!$B$26)^(4-0.5*Assumptions!$B$32)</f>
        <v>0.7947774613414859</v>
      </c>
      <c r="F14" s="21">
        <f>1/(1+Assumptions!$B$26)^(5-0.5*Assumptions!$B$32)</f>
        <v>0.7442935735420898</v>
      </c>
    </row>
    <row r="15" spans="1:6" x14ac:dyDescent="0.25">
      <c r="A15" s="19" t="s">
        <v>51</v>
      </c>
      <c r="B15" s="20">
        <f>B13*B14</f>
        <v>7148097029.966789</v>
      </c>
      <c r="C15" s="20">
        <f>C13*C14</f>
        <v>6297522299.39272</v>
      </c>
      <c r="D15" s="20">
        <f>D13*D14</f>
        <v>5548160152.987294</v>
      </c>
      <c r="E15" s="20">
        <f>E13*E14</f>
        <v>4887966984.438368</v>
      </c>
      <c r="F15" s="20">
        <f>F13*F14</f>
        <v>4306332294.336388</v>
      </c>
    </row>
    <row r="17" spans="1:2" x14ac:dyDescent="0.25">
      <c r="A17" s="22" t="s">
        <v>52</v>
      </c>
      <c r="B17" s="23">
        <f>SUM(B15:F15)</f>
        <v>28188078761.12156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5785798033.75511</v>
      </c>
    </row>
    <row r="5" spans="1:2" x14ac:dyDescent="0.25">
      <c r="A5" t="s">
        <v>56</v>
      </c>
      <c r="B5" s="18">
        <f>IF(Assumptions!$B$33=0,B4,B4-Forecast!F11-Forecast!F10-Forecast!F12)</f>
        <v>5075962603.417315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0.20584408325230474</v>
      </c>
    </row>
    <row r="7" spans="1:2" x14ac:dyDescent="0.25">
      <c r="A7" t="s">
        <v>58</v>
      </c>
      <c r="B7" s="18">
        <f>-MAX(Forecast!F9,0)*B6</f>
        <v>-1044856868.7234192</v>
      </c>
    </row>
    <row r="8" spans="1:2" x14ac:dyDescent="0.25">
      <c r="A8" t="s">
        <v>59</v>
      </c>
      <c r="B8" s="18">
        <f>IF(OR(Assumptions!$B$33=0,Assumptions!B12&lt;=0),B5,MAX(B5+B7,0))</f>
        <v>4031105734.6938953</v>
      </c>
    </row>
    <row r="9" spans="1:2" x14ac:dyDescent="0.25">
      <c r="A9" t="s">
        <v>60</v>
      </c>
      <c r="B9" s="18">
        <f>B8*(1+Assumptions!B12)/(Assumptions!B26-Assumptions!B12)</f>
        <v>96476387608.0879</v>
      </c>
    </row>
    <row r="10" spans="1:2" x14ac:dyDescent="0.25">
      <c r="A10" t="s">
        <v>61</v>
      </c>
      <c r="B10" s="18">
        <f>B9/(1+Assumptions!B26)^(5-0.5*Assumptions!B32)</f>
        <v>71806755295.25554</v>
      </c>
    </row>
    <row r="11" spans="1:2" x14ac:dyDescent="0.25">
      <c r="A11" t="s">
        <v>62</v>
      </c>
      <c r="B11" s="18">
        <f>Forecast!B17+B10</f>
        <v>99994834056.3771</v>
      </c>
    </row>
    <row r="12" spans="1:2" x14ac:dyDescent="0.25">
      <c r="A12" t="s">
        <v>63</v>
      </c>
      <c r="B12" s="18">
        <f>-Assumptions!B30</f>
        <v>-10854000000</v>
      </c>
    </row>
    <row r="13" spans="1:2" x14ac:dyDescent="0.25">
      <c r="A13" t="s">
        <v>64</v>
      </c>
      <c r="B13" s="18">
        <f>B11+B12</f>
        <v>89140834056.3771</v>
      </c>
    </row>
    <row r="14" spans="1:2" x14ac:dyDescent="0.25">
      <c r="A14" s="19" t="s">
        <v>65</v>
      </c>
      <c r="B14" s="24">
        <f>B13/Assumptions!B31</f>
        <v>73.06625742325993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11885723933.721836</v>
      </c>
    </row>
    <row r="18" spans="1:2" x14ac:dyDescent="0.25">
      <c r="A18" t="s">
        <v>60</v>
      </c>
      <c r="B18" s="18">
        <f>B17*Assumptions!B13</f>
        <v>100031503210.65315</v>
      </c>
    </row>
    <row r="19" spans="1:2" x14ac:dyDescent="0.25">
      <c r="A19" t="s">
        <v>61</v>
      </c>
      <c r="B19" s="18">
        <f>B18/(1+Assumptions!B26)^(5-0.5*Assumptions!B32)</f>
        <v>74452804991.44406</v>
      </c>
    </row>
    <row r="20" spans="1:2" x14ac:dyDescent="0.25">
      <c r="A20" t="s">
        <v>62</v>
      </c>
      <c r="B20" s="18">
        <f>Forecast!B17+B19</f>
        <v>102640883752.56561</v>
      </c>
    </row>
    <row r="21" spans="1:2" x14ac:dyDescent="0.25">
      <c r="A21" t="s">
        <v>63</v>
      </c>
      <c r="B21" s="18">
        <f>-Assumptions!B30</f>
        <v>-10854000000</v>
      </c>
    </row>
    <row r="22" spans="1:2" x14ac:dyDescent="0.25">
      <c r="A22" t="s">
        <v>64</v>
      </c>
      <c r="B22" s="18">
        <f>B20+B21</f>
        <v>91786883752.56561</v>
      </c>
    </row>
    <row r="23" spans="1:2" x14ac:dyDescent="0.25">
      <c r="A23" s="19" t="s">
        <v>65</v>
      </c>
      <c r="B23" s="25">
        <f>B22/Assumptions!B31</f>
        <v>75.23515061685706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73.06625742325993</v>
      </c>
    </row>
    <row r="29" spans="1:2" x14ac:dyDescent="0.25">
      <c r="A29" s="19" t="s">
        <v>73</v>
      </c>
      <c r="B29" s="12">
        <f>B28/B26-1</f>
        <v>-0.24743786771799436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0.047828</v>
      </c>
      <c r="B5" s="31">
        <v>106.59436555693347</v>
      </c>
      <c r="C5" s="31">
        <v>118.45512761382446</v>
      </c>
      <c r="D5" s="31">
        <v>135.45079052425976</v>
      </c>
      <c r="E5" s="31">
        <v>161.90172184506935</v>
      </c>
      <c r="F5" s="31">
        <v>208.86412879137762</v>
      </c>
    </row>
    <row r="6" spans="1:6" x14ac:dyDescent="0.25">
      <c r="A6" s="30">
        <v>0.057828</v>
      </c>
      <c r="B6" s="31">
        <v>81.81283230706792</v>
      </c>
      <c r="C6" s="31">
        <v>87.47103757247909</v>
      </c>
      <c r="D6" s="31">
        <v>94.81231915965118</v>
      </c>
      <c r="E6" s="31">
        <v>104.74389802684259</v>
      </c>
      <c r="F6" s="31">
        <v>118.96782688126765</v>
      </c>
    </row>
    <row r="7" spans="1:6" x14ac:dyDescent="0.25">
      <c r="A7" s="30">
        <v>0.067828</v>
      </c>
      <c r="B7" s="31">
        <v>66.3581372231758</v>
      </c>
      <c r="C7" s="31">
        <v>69.37483042353033</v>
      </c>
      <c r="D7" s="32">
        <v>73.06613011386273</v>
      </c>
      <c r="E7" s="31">
        <v>77.69953913200922</v>
      </c>
      <c r="F7" s="31">
        <v>83.70553267954202</v>
      </c>
    </row>
    <row r="8" spans="1:6" x14ac:dyDescent="0.25">
      <c r="A8" s="30">
        <v>0.077828</v>
      </c>
      <c r="B8" s="31">
        <v>55.77920922054351</v>
      </c>
      <c r="C8" s="31">
        <v>57.4835444019423</v>
      </c>
      <c r="D8" s="31">
        <v>59.48735781968599</v>
      </c>
      <c r="E8" s="31">
        <v>61.88457298186976</v>
      </c>
      <c r="F8" s="31">
        <v>64.81297419237428</v>
      </c>
    </row>
    <row r="9" spans="1:6" x14ac:dyDescent="0.25">
      <c r="A9" s="30">
        <v>0.087828</v>
      </c>
      <c r="B9" s="31">
        <v>48.069546056142535</v>
      </c>
      <c r="C9" s="31">
        <v>49.05517579560691</v>
      </c>
      <c r="D9" s="31">
        <v>50.1790169393473</v>
      </c>
      <c r="E9" s="31">
        <v>51.47692013175987</v>
      </c>
      <c r="F9" s="31">
        <v>52.998308609198126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52377000000</v>
      </c>
      <c r="C5" s="18">
        <v>54881000000</v>
      </c>
      <c r="D5" s="18">
        <v>52206000000</v>
      </c>
      <c r="E5" s="18">
        <v>62907000000</v>
      </c>
      <c r="F5" s="8" t="s">
        <v>84</v>
      </c>
    </row>
    <row r="6" spans="1:6" x14ac:dyDescent="0.25">
      <c r="A6" t="s">
        <v>44</v>
      </c>
      <c r="B6" s="18">
        <v>7995000000</v>
      </c>
      <c r="C6" s="18">
        <v>9035000000</v>
      </c>
      <c r="D6" s="18">
        <v>8953000000</v>
      </c>
      <c r="E6" s="18">
        <v>13925000000</v>
      </c>
      <c r="F6" s="8" t="s">
        <v>85</v>
      </c>
    </row>
    <row r="7" spans="1:6" x14ac:dyDescent="0.25">
      <c r="A7" t="s">
        <v>86</v>
      </c>
      <c r="B7" s="18">
        <v>6916000000</v>
      </c>
      <c r="C7" s="18">
        <v>6954000000</v>
      </c>
      <c r="D7" s="18">
        <v>6435000000</v>
      </c>
      <c r="E7" s="18">
        <v>8786000000</v>
      </c>
      <c r="F7" s="8" t="s">
        <v>87</v>
      </c>
    </row>
    <row r="8" spans="1:6" x14ac:dyDescent="0.25">
      <c r="A8" t="s">
        <v>88</v>
      </c>
      <c r="B8" s="18">
        <v>5856000000</v>
      </c>
      <c r="C8" s="18">
        <v>6483000000</v>
      </c>
      <c r="D8" s="18">
        <v>5936000000</v>
      </c>
      <c r="E8" s="18">
        <v>5120000000</v>
      </c>
      <c r="F8" s="8" t="s">
        <v>89</v>
      </c>
    </row>
    <row r="9" spans="1:6" x14ac:dyDescent="0.25">
      <c r="A9" t="s">
        <v>90</v>
      </c>
      <c r="B9" s="18">
        <v>2000000</v>
      </c>
      <c r="C9" s="18">
        <v>-2114000000</v>
      </c>
      <c r="D9" s="18">
        <v>981000000</v>
      </c>
      <c r="E9" s="18">
        <v>2421000000</v>
      </c>
      <c r="F9" s="8" t="s">
        <v>91</v>
      </c>
    </row>
    <row r="10" spans="1:6" x14ac:dyDescent="0.25">
      <c r="A10" t="s">
        <v>92</v>
      </c>
      <c r="B10" s="18">
        <v>14504000000</v>
      </c>
      <c r="C10" s="18">
        <v>14689000000</v>
      </c>
      <c r="D10" s="18">
        <v>15407000000</v>
      </c>
      <c r="E10" s="18">
        <v>15619000000</v>
      </c>
      <c r="F10" s="8" t="s">
        <v>93</v>
      </c>
    </row>
    <row r="11" spans="1:6" x14ac:dyDescent="0.25">
      <c r="A11" t="s">
        <v>94</v>
      </c>
      <c r="B11" s="18">
        <v>3650000000</v>
      </c>
      <c r="C11" s="18">
        <v>3484000000</v>
      </c>
      <c r="D11" s="18">
        <v>1729000000</v>
      </c>
      <c r="E11" s="18">
        <v>1980000000</v>
      </c>
      <c r="F11" s="8" t="s">
        <v>95</v>
      </c>
    </row>
    <row r="12" spans="1:6" x14ac:dyDescent="0.25">
      <c r="A12" t="s">
        <v>32</v>
      </c>
      <c r="B12" s="34">
        <v>1220000000</v>
      </c>
      <c r="C12" s="34">
        <v>1276000000</v>
      </c>
      <c r="D12" s="34">
        <v>1310000000</v>
      </c>
      <c r="E12" s="34">
        <v>1390000000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