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<sst xmlns="http://schemas.openxmlformats.org/spreadsheetml/2006/main" count="116" uniqueCount="104">
  <si>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Summerset Group Holdings Limited (SUM.NZ)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</si>
  <si>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</si>
  <si>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</si>
  <si>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</si>
  <si>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</si>
  <si>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</si>
  <si>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</si>
  <si>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</si>
  <si>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</si>
  <si>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</si>
  <si>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</si>
  <si>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</si>
  <si>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</si>
  <si>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</si>
  <si>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</si>
  <si>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</si>
  <si>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</si>
  <si>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</si>
  <si>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</si>
  <si>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</si>
  <si>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</si>
  <si>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</si>
  <si>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</si>
  <si>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</si>
  <si>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</si>
  <si>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</si>
  <si>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</si>
  <si>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</si>
  <si>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</si>
  <si>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</si>
  <si>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2025-12-31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</si>
  <si>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</si>
  <si>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</si>
  <si>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</si>
  <si>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</si>
  <si>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</si>
  <si>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</si>
  <si>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</si>
  <si>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</si>
  <si>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</si>
  <si>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</si>
  <si>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</si>
  <si>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</si>
  <si>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</si>
  <si>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</si>
  <si>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</si>
  <si>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</si>
  <si>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</si>
  <si>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</si>
  <si>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</si>
  <si>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</si>
  <si>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</si>
  <si>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</si>
  <si>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</si>
  <si>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</si>
  <si>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</si>
  <si>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</si>
  <si>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</si>
  <si>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</si>
  <si>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</si>
  <si>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</si>
  <si>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</si>
  <si>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</si>
  <si>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</si>
  <si>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</si>
  <si>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</si>
  <si>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</si>
  <si>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</si>
  <si>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</si>
  <si>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</si>
  <si>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</si>
  <si>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</si>
  <si>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</si>
  <si>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</si>
  <si>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</si>
  <si>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</si>
  <si>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</si>
  <si>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</si>
  <si>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</si>
  <si>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</si>
  <si>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</si>
  <si>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</si>
  <si>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</si>
  <si>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</si>
  <si>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</si>
  <si>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</si>
  <si>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</si>
  <si>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</si>
  <si>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</si>
  <si>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</si>
  <si>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</si>
  <si>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</si>
  <si>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</si>
  <si>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</si>
  <si>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</si>
  <si>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</si>
  <si>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</si>
  <si>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</si>
  <si>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</si>
  <si>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</si>
  <si>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33.0% of revenue against depreciation of 6.2%.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</si>
  <si>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</si>
  <si>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Current EV/EBITDA of 118.6x sits outside a defensible 3-20x band, so the exit multiple is capped at 20.0x. A multiple that far out usually means EBITDA is the wrong denominator for this business.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</si>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</sst>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0.15049959362440668</v>
      </c>
    </row>
    <row r="7" spans="1:2" x14ac:dyDescent="0.25">
      <c r="A7" t="s">
        <v>5</v>
      </c>
      <c r="B7" s="6">
        <v>0.034574710547186326</v>
      </c>
    </row>
    <row r="8" spans="1:2" x14ac:dyDescent="0.25">
      <c r="A8" t="s">
        <v>6</v>
      </c>
      <c r="B8" s="6">
        <v>0.04476026107341425</v>
      </c>
    </row>
    <row r="9" spans="1:2" x14ac:dyDescent="0.25">
      <c r="A9" t="s">
        <v>7</v>
      </c>
      <c r="B9" s="6">
        <v>0.06215884935615308</v>
      </c>
    </row>
    <row r="10" spans="1:2" x14ac:dyDescent="0.25">
      <c r="A10" t="s">
        <v>8</v>
      </c>
      <c r="B10" s="6">
        <v>0.3298451680331044</v>
      </c>
    </row>
    <row r="11" spans="1:2" x14ac:dyDescent="0.25">
      <c r="A11" t="s">
        <v>9</v>
      </c>
      <c r="B11" s="6">
        <v>0.03607100591715976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0.06056928261673698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0.52765</v>
      </c>
      <c r="C19" s="8" t="s">
        <v>19</v>
      </c>
    </row>
    <row r="20" spans="1:2" x14ac:dyDescent="0.25">
      <c r="A20" t="s">
        <v>20</v>
      </c>
      <c r="B20" s="10">
        <f>B17+B19*B18</f>
        <v>0.07929725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1857225088</v>
      </c>
    </row>
    <row r="23" spans="1:2" x14ac:dyDescent="0.25">
      <c r="A23" t="s">
        <v>24</v>
      </c>
      <c r="B23" s="11">
        <v>1978108000</v>
      </c>
    </row>
    <row r="24" spans="1:2" x14ac:dyDescent="0.25">
      <c r="A24" t="s">
        <v>25</v>
      </c>
      <c r="B24" s="10">
        <f>B22/(B22+B23)</f>
        <v>0.4842408847906563</v>
      </c>
    </row>
    <row r="25" spans="1:2" x14ac:dyDescent="0.25">
      <c r="A25" t="s">
        <v>26</v>
      </c>
      <c r="B25" s="10">
        <f>1-B24</f>
        <v>0.5157591152093437</v>
      </c>
    </row>
    <row r="26" spans="1:2" x14ac:dyDescent="0.25">
      <c r="A26" t="s">
        <v>27</v>
      </c>
      <c r="B26" s="12">
        <f>B24*B20+B25*B21*(1-B8)</f>
        <v>0.06056928261673698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360861000</v>
      </c>
      <c r="C29" s="8" t="s">
        <v>30</v>
      </c>
    </row>
    <row r="30" spans="1:2" x14ac:dyDescent="0.25">
      <c r="A30" t="s">
        <v>31</v>
      </c>
      <c r="B30" s="11">
        <v>1965738000</v>
      </c>
    </row>
    <row r="31" spans="1:2" x14ac:dyDescent="0.25">
      <c r="A31" t="s">
        <v>32</v>
      </c>
      <c r="B31" s="13">
        <v>240793621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0.15049959362440668</v>
      </c>
      <c r="C5" s="10">
        <f>Assumptions!B6</f>
        <v>0.15049959362440668</v>
      </c>
      <c r="D5" s="10">
        <f>Assumptions!B6</f>
        <v>0.15049959362440668</v>
      </c>
      <c r="E5" s="10">
        <f>Assumptions!B6</f>
        <v>0.15049959362440668</v>
      </c>
      <c r="F5" s="10">
        <f>Assumptions!B6</f>
        <v>0.15049959362440668</v>
      </c>
    </row>
    <row r="6" spans="1:6" x14ac:dyDescent="0.25">
      <c r="A6" t="s">
        <v>43</v>
      </c>
      <c r="B6" s="18">
        <f>Assumptions!B29*(1+B5)</f>
        <v>415170433.854897</v>
      </c>
      <c r="C6" s="18">
        <f>B6*(1+C5)</f>
        <v>477653415.43492764</v>
      </c>
      <c r="D6" s="18">
        <f>C6*(1+D5)</f>
        <v>549540060.3511941</v>
      </c>
      <c r="E6" s="18">
        <f>D6*(1+E5)</f>
        <v>632245616.1143808</v>
      </c>
      <c r="F6" s="18">
        <f>E6*(1+F5)</f>
        <v>727398324.4104078</v>
      </c>
    </row>
    <row r="7" spans="1:6" x14ac:dyDescent="0.25">
      <c r="A7" t="s">
        <v>5</v>
      </c>
      <c r="B7" s="10">
        <f>Assumptions!B7</f>
        <v>0.034574710547186326</v>
      </c>
      <c r="C7" s="10">
        <f>Assumptions!B7</f>
        <v>0.034574710547186326</v>
      </c>
      <c r="D7" s="10">
        <f>Assumptions!B7</f>
        <v>0.034574710547186326</v>
      </c>
      <c r="E7" s="10">
        <f>Assumptions!B7</f>
        <v>0.034574710547186326</v>
      </c>
      <c r="F7" s="10">
        <f>Assumptions!B7</f>
        <v>0.034574710547186326</v>
      </c>
    </row>
    <row r="8" spans="1:6" x14ac:dyDescent="0.25">
      <c r="A8" t="s">
        <v>44</v>
      </c>
      <c r="B8" s="18">
        <f>B6*B7</f>
        <v>14354397.578282831</v>
      </c>
      <c r="C8" s="18">
        <f>C6*C7</f>
        <v>16514728.580537565</v>
      </c>
      <c r="D8" s="18">
        <f>D6*D7</f>
        <v>19000188.520725843</v>
      </c>
      <c r="E8" s="18">
        <f>E6*E7</f>
        <v>21859709.1718822</v>
      </c>
      <c r="F8" s="18">
        <f>F6*F7</f>
        <v>25149586.518998187</v>
      </c>
    </row>
    <row r="9" spans="1:6" x14ac:dyDescent="0.25">
      <c r="A9" t="s">
        <v>45</v>
      </c>
      <c r="B9" s="18">
        <f>B8*(1-Assumptions!B8)</f>
        <v>13711890.995127307</v>
      </c>
      <c r="C9" s="18">
        <f>C8*(1-Assumptions!B8)</f>
        <v>15775525.017716128</v>
      </c>
      <c r="D9" s="18">
        <f>D8*(1-Assumptions!B8)</f>
        <v>18149735.122094065</v>
      </c>
      <c r="E9" s="18">
        <f>E8*(1-Assumptions!B8)</f>
        <v>20881262.882359847</v>
      </c>
      <c r="F9" s="18">
        <f>F8*(1-Assumptions!B8)</f>
        <v>24023884.46051941</v>
      </c>
    </row>
    <row r="10" spans="1:6" x14ac:dyDescent="0.25">
      <c r="A10" t="s">
        <v>46</v>
      </c>
      <c r="B10" s="18">
        <f>B6*Assumptions!B9</f>
        <v>25806516.455115262</v>
      </c>
      <c r="C10" s="18">
        <f>C6*Assumptions!B9</f>
        <v>29690386.694471672</v>
      </c>
      <c r="D10" s="18">
        <f>D6*Assumptions!B9</f>
        <v>34158777.82654115</v>
      </c>
      <c r="E10" s="18">
        <f>E6*Assumptions!B9</f>
        <v>39299660.00814199</v>
      </c>
      <c r="F10" s="18">
        <f>F6*Assumptions!B9</f>
        <v>45214242.868944705</v>
      </c>
    </row>
    <row r="11" spans="1:6" x14ac:dyDescent="0.25">
      <c r="A11" t="s">
        <v>47</v>
      </c>
      <c r="B11" s="18">
        <f>-B6*Assumptions!B10</f>
        <v>-136941961.51724535</v>
      </c>
      <c r="C11" s="18">
        <f>-C6*Assumptions!B10</f>
        <v>-157551671.07571992</v>
      </c>
      <c r="D11" s="18">
        <f>-D6*Assumptions!B10</f>
        <v>-181263133.54746196</v>
      </c>
      <c r="E11" s="18">
        <f>-E6*Assumptions!B10</f>
        <v>-208543161.48544154</v>
      </c>
      <c r="F11" s="18">
        <f>-F6*Assumptions!B10</f>
        <v>-239928822.5421495</v>
      </c>
    </row>
    <row r="12" spans="1:6" x14ac:dyDescent="0.25">
      <c r="A12" t="s">
        <v>48</v>
      </c>
      <c r="B12" s="18">
        <f>-(B6-Assumptions!B29)*Assumptions!B11</f>
        <v>-1958995.909937587</v>
      </c>
      <c r="C12" s="18">
        <f>-(C6-B6)*Assumptions!B11</f>
        <v>-2253823.9982950687</v>
      </c>
      <c r="D12" s="18">
        <f>-(D6-C6)*Assumptions!B11</f>
        <v>-2593023.5941394116</v>
      </c>
      <c r="E12" s="18">
        <f>-(E6-D6)*Assumptions!B11</f>
        <v>-2983272.591315894</v>
      </c>
      <c r="F12" s="18">
        <f>-(F6-E6)*Assumptions!B11</f>
        <v>-3432253.903979765</v>
      </c>
    </row>
    <row r="13" spans="1:6" x14ac:dyDescent="0.25">
      <c r="A13" s="19" t="s">
        <v>49</v>
      </c>
      <c r="B13" s="20">
        <f>B9+B10+B11+B12</f>
        <v>-99382549.97694036</v>
      </c>
      <c r="C13" s="20">
        <f>C9+C10+C11+C12</f>
        <v>-114339583.3618272</v>
      </c>
      <c r="D13" s="20">
        <f>D9+D10+D11+D12</f>
        <v>-131547644.19296615</v>
      </c>
      <c r="E13" s="20">
        <f>E9+E10+E11+E12</f>
        <v>-151345511.1862556</v>
      </c>
      <c r="F13" s="20">
        <f>F9+F10+F11+F12</f>
        <v>-174122949.11666518</v>
      </c>
    </row>
    <row r="14" spans="1:6" x14ac:dyDescent="0.25">
      <c r="A14" t="s">
        <v>50</v>
      </c>
      <c r="B14" s="21">
        <f>1/(1+Assumptions!$B$26)^(1-0.5*Assumptions!$B$32)</f>
        <v>0.9710251484245196</v>
      </c>
      <c r="C14" s="21">
        <f>1/(1+Assumptions!$B$26)^(2-0.5*Assumptions!$B$32)</f>
        <v>0.9155697457394902</v>
      </c>
      <c r="D14" s="21">
        <f>1/(1+Assumptions!$B$26)^(3-0.5*Assumptions!$B$32)</f>
        <v>0.8632814100371735</v>
      </c>
      <c r="E14" s="21">
        <f>1/(1+Assumptions!$B$26)^(4-0.5*Assumptions!$B$32)</f>
        <v>0.813979269611886</v>
      </c>
      <c r="F14" s="21">
        <f>1/(1+Assumptions!$B$26)^(5-0.5*Assumptions!$B$32)</f>
        <v>0.7674927823701997</v>
      </c>
    </row>
    <row r="15" spans="1:6" x14ac:dyDescent="0.25">
      <c r="A15" s="19" t="s">
        <v>51</v>
      </c>
      <c r="B15" s="20">
        <f>B13*B14</f>
        <v>-96502955.34216575</v>
      </c>
      <c r="C15" s="20">
        <f>C13*C14</f>
        <v>-104685863.26654737</v>
      </c>
      <c r="D15" s="20">
        <f>D13*D14</f>
        <v>-113562635.76597221</v>
      </c>
      <c r="E15" s="20">
        <f>E13*E14</f>
        <v>-123192108.65442586</v>
      </c>
      <c r="F15" s="20">
        <f>F13*F14</f>
        <v>-133638106.69205406</v>
      </c>
    </row>
    <row r="17" spans="1:2" x14ac:dyDescent="0.25">
      <c r="A17" s="22" t="s">
        <v>52</v>
      </c>
      <c r="B17" s="23">
        <f>SUM(B15:F15)</f>
        <v>-571581669.7211653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-174122949.11666518</v>
      </c>
    </row>
    <row r="5" spans="1:2" x14ac:dyDescent="0.25">
      <c r="A5" t="s">
        <v>56</v>
      </c>
      <c r="B5" s="18">
        <f>IF(Assumptions!$B$33=0,B4,B4-Forecast!F11-Forecast!F10-Forecast!F12)</f>
        <v>24023884.46051941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0.4127504721855795</v>
      </c>
    </row>
    <row r="7" spans="1:2" x14ac:dyDescent="0.25">
      <c r="A7" t="s">
        <v>58</v>
      </c>
      <c r="B7" s="18">
        <f>-MAX(Forecast!F9,0)*B6</f>
        <v>-9915869.654811192</v>
      </c>
    </row>
    <row r="8" spans="1:2" x14ac:dyDescent="0.25">
      <c r="A8" t="s">
        <v>59</v>
      </c>
      <c r="B8" s="18">
        <f>IF(OR(Assumptions!$B$33=0,Assumptions!B12&lt;=0),B5,MAX(B5+B7,0))</f>
        <v>14108014.805708218</v>
      </c>
    </row>
    <row r="9" spans="1:2" x14ac:dyDescent="0.25">
      <c r="A9" t="s">
        <v>60</v>
      </c>
      <c r="B9" s="18">
        <f>B8*(1+Assumptions!B12)/(Assumptions!B26-Assumptions!B12)</f>
        <v>406550655.8472588</v>
      </c>
    </row>
    <row r="10" spans="1:2" x14ac:dyDescent="0.25">
      <c r="A10" t="s">
        <v>61</v>
      </c>
      <c r="B10" s="18">
        <f>B9/(1+Assumptions!B26)^(5-0.5*Assumptions!B32)</f>
        <v>312024694.03064215</v>
      </c>
    </row>
    <row r="11" spans="1:2" x14ac:dyDescent="0.25">
      <c r="A11" t="s">
        <v>62</v>
      </c>
      <c r="B11" s="18">
        <f>Forecast!B17+B10</f>
        <v>-259556975.69052315</v>
      </c>
    </row>
    <row r="12" spans="1:2" x14ac:dyDescent="0.25">
      <c r="A12" t="s">
        <v>63</v>
      </c>
      <c r="B12" s="18">
        <f>-Assumptions!B30</f>
        <v>-1965738000</v>
      </c>
    </row>
    <row r="13" spans="1:2" x14ac:dyDescent="0.25">
      <c r="A13" t="s">
        <v>64</v>
      </c>
      <c r="B13" s="18">
        <f>B11+B12</f>
        <v>-2225294975.690523</v>
      </c>
    </row>
    <row r="14" spans="1:2" x14ac:dyDescent="0.25">
      <c r="A14" s="19" t="s">
        <v>65</v>
      </c>
      <c r="B14" s="24">
        <f>B13/Assumptions!B31</f>
        <v>-9.24150302009256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70363829.3879429</v>
      </c>
    </row>
    <row r="18" spans="1:2" x14ac:dyDescent="0.25">
      <c r="A18" t="s">
        <v>60</v>
      </c>
      <c r="B18" s="18">
        <f>B17*Assumptions!B13</f>
        <v>1407276587.758858</v>
      </c>
    </row>
    <row r="19" spans="1:2" x14ac:dyDescent="0.25">
      <c r="A19" t="s">
        <v>61</v>
      </c>
      <c r="B19" s="18">
        <f>B18/(1+Assumptions!B26)^(5-0.5*Assumptions!B32)</f>
        <v>1080074623.9034865</v>
      </c>
    </row>
    <row r="20" spans="1:2" x14ac:dyDescent="0.25">
      <c r="A20" t="s">
        <v>62</v>
      </c>
      <c r="B20" s="18">
        <f>Forecast!B17+B19</f>
        <v>508492954.1823212</v>
      </c>
    </row>
    <row r="21" spans="1:2" x14ac:dyDescent="0.25">
      <c r="A21" t="s">
        <v>63</v>
      </c>
      <c r="B21" s="18">
        <f>-Assumptions!B30</f>
        <v>-1965738000</v>
      </c>
    </row>
    <row r="22" spans="1:2" x14ac:dyDescent="0.25">
      <c r="A22" t="s">
        <v>64</v>
      </c>
      <c r="B22" s="18">
        <f>B20+B21</f>
        <v>-1457245045.817679</v>
      </c>
    </row>
    <row r="23" spans="1:2" x14ac:dyDescent="0.25">
      <c r="A23" s="19" t="s">
        <v>65</v>
      </c>
      <c r="B23" s="25">
        <f>B22/Assumptions!B31</f>
        <v>-6.051842402493207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-9.24150302009256</v>
      </c>
    </row>
    <row r="29" spans="1:2" x14ac:dyDescent="0.25">
      <c r="A29" s="19" t="s">
        <v>73</v>
      </c>
      <c r="B29" s="12">
        <f>B28/B26-1</f>
        <v>-2.2159872394858633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0.040569</v>
      </c>
      <c r="B5" s="31">
        <v>-8.574495548403918</v>
      </c>
      <c r="C5" s="31">
        <v>-8.564214083942588</v>
      </c>
      <c r="D5" s="31">
        <v>-8.553932619481255</v>
      </c>
      <c r="E5" s="31">
        <v>-8.543651155019925</v>
      </c>
      <c r="F5" s="31">
        <v>-8.533369690558592</v>
      </c>
    </row>
    <row r="6" spans="1:6" x14ac:dyDescent="0.25">
      <c r="A6" s="30">
        <v>0.050569</v>
      </c>
      <c r="B6" s="31">
        <v>-8.994300057821222</v>
      </c>
      <c r="C6" s="31">
        <v>-8.986399217682354</v>
      </c>
      <c r="D6" s="31">
        <v>-8.978498377543486</v>
      </c>
      <c r="E6" s="31">
        <v>-8.970597537404618</v>
      </c>
      <c r="F6" s="31">
        <v>-8.96269669726575</v>
      </c>
    </row>
    <row r="7" spans="1:6" x14ac:dyDescent="0.25">
      <c r="A7" s="30">
        <v>0.060569</v>
      </c>
      <c r="B7" s="31">
        <v>-9.254139304321653</v>
      </c>
      <c r="C7" s="31">
        <v>-9.247818204123478</v>
      </c>
      <c r="D7" s="32">
        <v>-9.241497103925301</v>
      </c>
      <c r="E7" s="31">
        <v>-9.235176003727126</v>
      </c>
      <c r="F7" s="31">
        <v>-9.228854903528951</v>
      </c>
    </row>
    <row r="8" spans="1:6" x14ac:dyDescent="0.25">
      <c r="A8" s="30">
        <v>0.070569</v>
      </c>
      <c r="B8" s="31">
        <v>-9.42314497341016</v>
      </c>
      <c r="C8" s="31">
        <v>-9.417943955995053</v>
      </c>
      <c r="D8" s="31">
        <v>-9.412742938579948</v>
      </c>
      <c r="E8" s="31">
        <v>-9.40754192116484</v>
      </c>
      <c r="F8" s="31">
        <v>-9.402340903749735</v>
      </c>
    </row>
    <row r="9" spans="1:6" x14ac:dyDescent="0.25">
      <c r="A9" s="30">
        <v>0.080569</v>
      </c>
      <c r="B9" s="31">
        <v>-9.536058185234321</v>
      </c>
      <c r="C9" s="31">
        <v>-9.531689366603953</v>
      </c>
      <c r="D9" s="31">
        <v>-9.527320547973588</v>
      </c>
      <c r="E9" s="31">
        <v>-9.522951729343223</v>
      </c>
      <c r="F9" s="31">
        <v>-9.518582910712855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360861000</v>
      </c>
      <c r="C5" s="18">
        <v>318611000</v>
      </c>
      <c r="D5" s="18">
        <v>270502000</v>
      </c>
      <c r="E5" s="18">
        <v>236963000</v>
      </c>
      <c r="F5" s="8" t="s">
        <v>84</v>
      </c>
    </row>
    <row r="6" spans="1:6" x14ac:dyDescent="0.25">
      <c r="A6" t="s">
        <v>44</v>
      </c>
      <c r="B6" s="18">
        <v>5918000</v>
      </c>
      <c r="C6" s="18">
        <v>15363000</v>
      </c>
      <c r="D6" s="18">
        <v>6722000</v>
      </c>
      <c r="E6" s="18">
        <v>11571000</v>
      </c>
      <c r="F6" s="8" t="s">
        <v>85</v>
      </c>
    </row>
    <row r="7" spans="1:6" x14ac:dyDescent="0.25">
      <c r="A7" t="s">
        <v>86</v>
      </c>
      <c r="B7" s="18">
        <v>26311000</v>
      </c>
      <c r="C7" s="18">
        <v>19099000</v>
      </c>
      <c r="D7" s="18">
        <v>15797000</v>
      </c>
      <c r="E7" s="18">
        <v>13597000</v>
      </c>
      <c r="F7" s="8" t="s">
        <v>87</v>
      </c>
    </row>
    <row r="8" spans="1:6" x14ac:dyDescent="0.25">
      <c r="A8" t="s">
        <v>88</v>
      </c>
      <c r="B8" s="18">
        <v>220568000</v>
      </c>
      <c r="C8" s="18">
        <v>84835000</v>
      </c>
      <c r="D8" s="18">
        <v>58399000</v>
      </c>
      <c r="E8" s="18">
        <v>53553000</v>
      </c>
      <c r="F8" s="8" t="s">
        <v>89</v>
      </c>
    </row>
    <row r="9" spans="1:6" x14ac:dyDescent="0.25">
      <c r="A9" t="s">
        <v>90</v>
      </c>
      <c r="B9" s="18">
        <v>1524000</v>
      </c>
      <c r="C9" s="18">
        <v>4509000</v>
      </c>
      <c r="D9" s="18">
        <v>-2041000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1978108000</v>
      </c>
      <c r="C10" s="18">
        <v>1726218000</v>
      </c>
      <c r="D10" s="18">
        <v>1407653000</v>
      </c>
      <c r="E10" s="18">
        <v>1076464000</v>
      </c>
      <c r="F10" s="8" t="s">
        <v>93</v>
      </c>
    </row>
    <row r="11" spans="1:6" x14ac:dyDescent="0.25">
      <c r="A11" t="s">
        <v>94</v>
      </c>
      <c r="B11" s="18">
        <v>12370000</v>
      </c>
      <c r="C11" s="18">
        <v>15524000</v>
      </c>
      <c r="D11" s="18">
        <v>14224000</v>
      </c>
      <c r="E11" s="18">
        <v>25347000</v>
      </c>
      <c r="F11" s="8" t="s">
        <v>95</v>
      </c>
    </row>
    <row r="12" spans="1:6" x14ac:dyDescent="0.25">
      <c r="A12" t="s">
        <v>32</v>
      </c>
      <c r="B12" s="34">
        <v>240793621</v>
      </c>
      <c r="C12" s="34">
        <v>235660000</v>
      </c>
      <c r="D12" s="34">
        <v>233213427</v>
      </c>
      <c r="E12" s="34">
        <v>231240976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2026-09-19T00:09:37Z</dcterms:modified>
</cp:coreProperties>
</file>