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<sst xmlns="http://schemas.openxmlformats.org/spreadsheetml/2006/main" count="114" uniqueCount="102">
  <si>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Severn Trent PLC (SVT.L)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</si>
  <si>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</si>
  <si>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</si>
  <si>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</si>
  <si>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</si>
  <si>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</si>
  <si>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</si>
  <si>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</si>
  <si>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</si>
  <si>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</si>
  <si>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</si>
  <si>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</si>
  <si>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</si>
  <si>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</si>
  <si>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</si>
  <si>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</si>
  <si>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</si>
  <si>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</si>
  <si>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</si>
  <si>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</si>
  <si>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</si>
  <si>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</si>
  <si>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</si>
  <si>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</si>
  <si>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</si>
  <si>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</si>
  <si>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</si>
  <si>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</si>
  <si>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</si>
  <si>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</si>
  <si>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</si>
  <si>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</si>
  <si>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</si>
  <si>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</si>
  <si>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</si>
  <si>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</si>
  <si>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</si>
  <si>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</si>
  <si>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</si>
  <si>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</si>
  <si>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</si>
  <si>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</si>
  <si>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</si>
  <si>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</si>
  <si>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</si>
  <si>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</si>
  <si>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</si>
  <si>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</si>
  <si>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</si>
  <si>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</si>
  <si>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</si>
  <si>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</si>
  <si>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</si>
  <si>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</si>
  <si>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</si>
  <si>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</si>
  <si>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</si>
  <si>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</si>
  <si>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</si>
  <si>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</si>
  <si>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</si>
  <si>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</si>
  <si>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</si>
  <si>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</si>
  <si>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</si>
  <si>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</si>
  <si>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</si>
  <si>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</si>
  <si>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</si>
  <si>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</si>
  <si>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</si>
  <si>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</si>
  <si>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</si>
  <si>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</si>
  <si>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</si>
  <si>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</si>
  <si>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</si>
  <si>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</si>
  <si>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</si>
  <si>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2025-03-31</t>
  </si>
  <si>
    <t>2024-03-31</t>
  </si>
  <si>
    <t>2023-03-31</t>
  </si>
  <si>
    <t>2022-03-31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</si>
  <si>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</si>
  <si>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</si>
  <si>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</si>
  <si>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</si>
  <si>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</si>
  <si>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</si>
  <si>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</si>
  <si>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</si>
  <si>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</si>
  <si>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</si>
  <si>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</si>
  <si>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</si>
  <si>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</si>
  <si>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</si>
  <si>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</si>
  <si>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</si>
  <si>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46.1% of revenue against depreciation of 19.2%.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</si>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</sst>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0.0768587629728712</v>
      </c>
    </row>
    <row r="7" spans="1:2" x14ac:dyDescent="0.25">
      <c r="A7" t="s">
        <v>5</v>
      </c>
      <c r="B7" s="6">
        <v>0.23882784700593135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0.19245585219541297</v>
      </c>
    </row>
    <row r="10" spans="1:2" x14ac:dyDescent="0.25">
      <c r="A10" t="s">
        <v>8</v>
      </c>
      <c r="B10" s="6">
        <v>0.46095790435984824</v>
      </c>
    </row>
    <row r="11" spans="1:2" x14ac:dyDescent="0.25">
      <c r="A11" t="s">
        <v>9</v>
      </c>
      <c r="B11" s="6">
        <v>0.45465049104563837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17.015520318815827</v>
      </c>
    </row>
    <row r="14" spans="1:3" x14ac:dyDescent="0.25">
      <c r="A14" t="s">
        <v>12</v>
      </c>
      <c r="B14" s="6">
        <v>0.05801718515885813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0.70051</v>
      </c>
      <c r="C19" s="8" t="s">
        <v>19</v>
      </c>
    </row>
    <row r="20" spans="1:2" x14ac:dyDescent="0.25">
      <c r="A20" t="s">
        <v>20</v>
      </c>
      <c r="B20" s="10">
        <f>B17+B19*B18</f>
        <v>0.08352804999999999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9224356864</v>
      </c>
    </row>
    <row r="23" spans="1:2" x14ac:dyDescent="0.25">
      <c r="A23" t="s">
        <v>24</v>
      </c>
      <c r="B23" s="11">
        <v>9697100000</v>
      </c>
    </row>
    <row r="24" spans="1:2" x14ac:dyDescent="0.25">
      <c r="A24" t="s">
        <v>25</v>
      </c>
      <c r="B24" s="10">
        <f>B22/(B22+B23)</f>
        <v>0.4875077500797668</v>
      </c>
    </row>
    <row r="25" spans="1:2" x14ac:dyDescent="0.25">
      <c r="A25" t="s">
        <v>26</v>
      </c>
      <c r="B25" s="10">
        <f>1-B24</f>
        <v>0.5124922499202331</v>
      </c>
    </row>
    <row r="26" spans="1:2" x14ac:dyDescent="0.25">
      <c r="A26" t="s">
        <v>27</v>
      </c>
      <c r="B26" s="12">
        <f>B24*B20+B25*B21*(1-B8)</f>
        <v>0.05801718515885813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2426700000</v>
      </c>
      <c r="C29" s="8" t="s">
        <v>30</v>
      </c>
    </row>
    <row r="30" spans="1:2" x14ac:dyDescent="0.25">
      <c r="A30" t="s">
        <v>31</v>
      </c>
      <c r="B30" s="11">
        <v>8708300000</v>
      </c>
    </row>
    <row r="31" spans="1:2" x14ac:dyDescent="0.25">
      <c r="A31" t="s">
        <v>32</v>
      </c>
      <c r="B31" s="13">
        <v>300200000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0.0768587629728712</v>
      </c>
      <c r="C5" s="10">
        <f>Assumptions!B6</f>
        <v>0.0768587629728712</v>
      </c>
      <c r="D5" s="10">
        <f>Assumptions!B6</f>
        <v>0.0768587629728712</v>
      </c>
      <c r="E5" s="10">
        <f>Assumptions!B6</f>
        <v>0.0768587629728712</v>
      </c>
      <c r="F5" s="10">
        <f>Assumptions!B6</f>
        <v>0.0768587629728712</v>
      </c>
    </row>
    <row r="6" spans="1:6" x14ac:dyDescent="0.25">
      <c r="A6" t="s">
        <v>43</v>
      </c>
      <c r="B6" s="18">
        <f>Assumptions!B29*(1+B5)</f>
        <v>2613213160.1062665</v>
      </c>
      <c r="C6" s="18">
        <f>B6*(1+C5)</f>
        <v>2814061490.976462</v>
      </c>
      <c r="D6" s="18">
        <f>C6*(1+D5)</f>
        <v>3030346776.102506</v>
      </c>
      <c r="E6" s="18">
        <f>D6*(1+E5)</f>
        <v>3263255480.692573</v>
      </c>
      <c r="F6" s="18">
        <f>E6*(1+F5)</f>
        <v>3514065260.2030463</v>
      </c>
    </row>
    <row r="7" spans="1:6" x14ac:dyDescent="0.25">
      <c r="A7" t="s">
        <v>5</v>
      </c>
      <c r="B7" s="10">
        <f>Assumptions!B7</f>
        <v>0.23882784700593135</v>
      </c>
      <c r="C7" s="10">
        <f>Assumptions!B7</f>
        <v>0.23882784700593135</v>
      </c>
      <c r="D7" s="10">
        <f>Assumptions!B7</f>
        <v>0.23882784700593135</v>
      </c>
      <c r="E7" s="10">
        <f>Assumptions!B7</f>
        <v>0.23882784700593135</v>
      </c>
      <c r="F7" s="10">
        <f>Assumptions!B7</f>
        <v>0.23882784700593135</v>
      </c>
    </row>
    <row r="8" spans="1:6" x14ac:dyDescent="0.25">
      <c r="A8" t="s">
        <v>44</v>
      </c>
      <c r="B8" s="18">
        <f>B6*B7</f>
        <v>624108072.7957458</v>
      </c>
      <c r="C8" s="18">
        <f>C6*C7</f>
        <v>672076247.2322094</v>
      </c>
      <c r="D8" s="18">
        <f>D6*D7</f>
        <v>723731196.2179266</v>
      </c>
      <c r="E8" s="18">
        <f>E6*E7</f>
        <v>779356280.6841128</v>
      </c>
      <c r="F8" s="18">
        <f>F6*F7</f>
        <v>839256640.3326315</v>
      </c>
    </row>
    <row r="9" spans="1:6" x14ac:dyDescent="0.25">
      <c r="A9" t="s">
        <v>45</v>
      </c>
      <c r="B9" s="18">
        <f>B8*(1-Assumptions!B8)</f>
        <v>468081054.5968094</v>
      </c>
      <c r="C9" s="18">
        <f>C8*(1-Assumptions!B8)</f>
        <v>504057185.4241571</v>
      </c>
      <c r="D9" s="18">
        <f>D8*(1-Assumptions!B8)</f>
        <v>542798397.163445</v>
      </c>
      <c r="E9" s="18">
        <f>E8*(1-Assumptions!B8)</f>
        <v>584517210.5130847</v>
      </c>
      <c r="F9" s="18">
        <f>F8*(1-Assumptions!B8)</f>
        <v>629442480.2494736</v>
      </c>
    </row>
    <row r="10" spans="1:6" x14ac:dyDescent="0.25">
      <c r="A10" t="s">
        <v>46</v>
      </c>
      <c r="B10" s="18">
        <f>B6*Assumptions!B9</f>
        <v>502928165.6965197</v>
      </c>
      <c r="C10" s="18">
        <f>C6*Assumptions!B9</f>
        <v>541582602.3761694</v>
      </c>
      <c r="D10" s="18">
        <f>D6*Assumptions!B9</f>
        <v>583207971.2424301</v>
      </c>
      <c r="E10" s="18">
        <f>E6*Assumptions!B9</f>
        <v>628032614.4680412</v>
      </c>
      <c r="F10" s="18">
        <f>F6*Assumptions!B9</f>
        <v>676302424.322673</v>
      </c>
    </row>
    <row r="11" spans="1:6" x14ac:dyDescent="0.25">
      <c r="A11" t="s">
        <v>47</v>
      </c>
      <c r="B11" s="18">
        <f>-B6*Assumptions!B10</f>
        <v>-1204581261.9281611</v>
      </c>
      <c r="C11" s="18">
        <f>-C6*Assumptions!B10</f>
        <v>-1297163887.6202598</v>
      </c>
      <c r="D11" s="18">
        <f>-D6*Assumptions!B10</f>
        <v>-1396862299.3958335</v>
      </c>
      <c r="E11" s="18">
        <f>-E6*Assumptions!B10</f>
        <v>-1504223407.7708378</v>
      </c>
      <c r="F11" s="18">
        <f>-F6*Assumptions!B10</f>
        <v>-1619836158.126941</v>
      </c>
    </row>
    <row r="12" spans="1:6" x14ac:dyDescent="0.25">
      <c r="A12" t="s">
        <v>48</v>
      </c>
      <c r="B12" s="18">
        <f>-(B6-Assumptions!B29)*Assumptions!B11</f>
        <v>-84798299.82878783</v>
      </c>
      <c r="C12" s="18">
        <f>-(C6-B6)*Assumptions!B11</f>
        <v>-91315792.25583118</v>
      </c>
      <c r="D12" s="18">
        <f>-(D6-C6)*Assumptions!B11</f>
        <v>-98334211.08850193</v>
      </c>
      <c r="E12" s="18">
        <f>-(E6-D6)*Assumptions!B11</f>
        <v>-105892056.91067745</v>
      </c>
      <c r="F12" s="18">
        <f>-(F6-E6)*Assumptions!B11</f>
        <v>-114030789.41348496</v>
      </c>
    </row>
    <row r="13" spans="1:6" x14ac:dyDescent="0.25">
      <c r="A13" s="19" t="s">
        <v>49</v>
      </c>
      <c r="B13" s="20">
        <f>B9+B10+B11+B12</f>
        <v>-318370341.46361995</v>
      </c>
      <c r="C13" s="20">
        <f>C9+C10+C11+C12</f>
        <v>-342839892.07576436</v>
      </c>
      <c r="D13" s="20">
        <f>D9+D10+D11+D12</f>
        <v>-369190142.0784602</v>
      </c>
      <c r="E13" s="20">
        <f>E9+E10+E11+E12</f>
        <v>-397565639.7003894</v>
      </c>
      <c r="F13" s="20">
        <f>F9+F10+F11+F12</f>
        <v>-428122042.9682795</v>
      </c>
    </row>
    <row r="14" spans="1:6" x14ac:dyDescent="0.25">
      <c r="A14" t="s">
        <v>50</v>
      </c>
      <c r="B14" s="21">
        <f>1/(1+Assumptions!$B$26)^(1-0.5*Assumptions!$B$32)</f>
        <v>0.9721955727940883</v>
      </c>
      <c r="C14" s="21">
        <f>1/(1+Assumptions!$B$26)^(2-0.5*Assumptions!$B$32)</f>
        <v>0.9188844816808112</v>
      </c>
      <c r="D14" s="21">
        <f>1/(1+Assumptions!$B$26)^(3-0.5*Assumptions!$B$32)</f>
        <v>0.8684967452044207</v>
      </c>
      <c r="E14" s="21">
        <f>1/(1+Assumptions!$B$26)^(4-0.5*Assumptions!$B$32)</f>
        <v>0.8208720589675661</v>
      </c>
      <c r="F14" s="21">
        <f>1/(1+Assumptions!$B$26)^(5-0.5*Assumptions!$B$32)</f>
        <v>0.7758589089876783</v>
      </c>
    </row>
    <row r="15" spans="1:6" x14ac:dyDescent="0.25">
      <c r="A15" s="19" t="s">
        <v>51</v>
      </c>
      <c r="B15" s="20">
        <f>B13*B14</f>
        <v>-309518236.4798735</v>
      </c>
      <c r="C15" s="20">
        <f>C13*C14</f>
        <v>-315030256.529544</v>
      </c>
      <c r="D15" s="20">
        <f>D13*D14</f>
        <v>-320640436.75670034</v>
      </c>
      <c r="E15" s="20">
        <f>E13*E14</f>
        <v>-326350525.23561615</v>
      </c>
      <c r="F15" s="20">
        <f>F13*F14</f>
        <v>-332162301.1709452</v>
      </c>
    </row>
    <row r="17" spans="1:2" x14ac:dyDescent="0.25">
      <c r="A17" s="22" t="s">
        <v>52</v>
      </c>
      <c r="B17" s="23">
        <f>SUM(B15:F15)</f>
        <v>-1603701756.1726792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-428122042.9682795</v>
      </c>
    </row>
    <row r="5" spans="1:2" x14ac:dyDescent="0.25">
      <c r="A5" t="s">
        <v>56</v>
      </c>
      <c r="B5" s="18">
        <f>IF(Assumptions!$B$33=0,B4,B4-Forecast!F11-Forecast!F10-Forecast!F12)</f>
        <v>671989962.5657747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0.43090680686329325</v>
      </c>
    </row>
    <row r="7" spans="1:2" x14ac:dyDescent="0.25">
      <c r="A7" t="s">
        <v>58</v>
      </c>
      <c r="B7" s="18">
        <f>-MAX(Forecast!F9,0)*B6</f>
        <v>-289565049.0134019</v>
      </c>
    </row>
    <row r="8" spans="1:2" x14ac:dyDescent="0.25">
      <c r="A8" t="s">
        <v>59</v>
      </c>
      <c r="B8" s="18">
        <f>IF(OR(Assumptions!$B$33=0,Assumptions!B12&lt;=0),B5,MAX(B5+B7,0))</f>
        <v>382424913.55237275</v>
      </c>
    </row>
    <row r="9" spans="1:2" x14ac:dyDescent="0.25">
      <c r="A9" t="s">
        <v>60</v>
      </c>
      <c r="B9" s="18">
        <f>B8*(1+Assumptions!B12)/(Assumptions!B26-Assumptions!B12)</f>
        <v>11872167009.549477</v>
      </c>
    </row>
    <row r="10" spans="1:2" x14ac:dyDescent="0.25">
      <c r="A10" t="s">
        <v>61</v>
      </c>
      <c r="B10" s="18">
        <f>B9/(1+Assumptions!B26)^(5-0.5*Assumptions!B32)</f>
        <v>9211126543.348564</v>
      </c>
    </row>
    <row r="11" spans="1:2" x14ac:dyDescent="0.25">
      <c r="A11" t="s">
        <v>62</v>
      </c>
      <c r="B11" s="18">
        <f>Forecast!B17+B10</f>
        <v>7607424787.175885</v>
      </c>
    </row>
    <row r="12" spans="1:2" x14ac:dyDescent="0.25">
      <c r="A12" t="s">
        <v>63</v>
      </c>
      <c r="B12" s="18">
        <f>-Assumptions!B30</f>
        <v>-8708300000</v>
      </c>
    </row>
    <row r="13" spans="1:2" x14ac:dyDescent="0.25">
      <c r="A13" t="s">
        <v>64</v>
      </c>
      <c r="B13" s="18">
        <f>B11+B12</f>
        <v>-1100875212.8241148</v>
      </c>
    </row>
    <row r="14" spans="1:2" x14ac:dyDescent="0.25">
      <c r="A14" s="19" t="s">
        <v>65</v>
      </c>
      <c r="B14" s="24">
        <f>B13/Assumptions!B31</f>
        <v>-3.6671392832248992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1515559064.6553044</v>
      </c>
    </row>
    <row r="18" spans="1:2" x14ac:dyDescent="0.25">
      <c r="A18" t="s">
        <v>60</v>
      </c>
      <c r="B18" s="18">
        <f>B17*Assumptions!B13</f>
        <v>25788026059.007843</v>
      </c>
    </row>
    <row r="19" spans="1:2" x14ac:dyDescent="0.25">
      <c r="A19" t="s">
        <v>61</v>
      </c>
      <c r="B19" s="18">
        <f>B18/(1+Assumptions!B26)^(5-0.5*Assumptions!B32)</f>
        <v>20007869763.087643</v>
      </c>
    </row>
    <row r="20" spans="1:2" x14ac:dyDescent="0.25">
      <c r="A20" t="s">
        <v>62</v>
      </c>
      <c r="B20" s="18">
        <f>Forecast!B17+B19</f>
        <v>18404168006.914963</v>
      </c>
    </row>
    <row r="21" spans="1:2" x14ac:dyDescent="0.25">
      <c r="A21" t="s">
        <v>63</v>
      </c>
      <c r="B21" s="18">
        <f>-Assumptions!B30</f>
        <v>-8708300000</v>
      </c>
    </row>
    <row r="22" spans="1:2" x14ac:dyDescent="0.25">
      <c r="A22" t="s">
        <v>64</v>
      </c>
      <c r="B22" s="18">
        <f>B20+B21</f>
        <v>9695868006.914963</v>
      </c>
    </row>
    <row r="23" spans="1:2" x14ac:dyDescent="0.25">
      <c r="A23" s="19" t="s">
        <v>65</v>
      </c>
      <c r="B23" s="25">
        <f>B22/Assumptions!B31</f>
        <v>32.29802800438029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3054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-366.71392832248995</v>
      </c>
    </row>
    <row r="29" spans="1:2" x14ac:dyDescent="0.25">
      <c r="A29" s="19" t="s">
        <v>73</v>
      </c>
      <c r="B29" s="12">
        <f>B28/B26-1</f>
        <v>-1.1200765973551048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0.038017</v>
      </c>
      <c r="B5" s="31">
        <v>19.77055636060848</v>
      </c>
      <c r="C5" s="31">
        <v>22.76768421114862</v>
      </c>
      <c r="D5" s="31">
        <v>27.898495159531954</v>
      </c>
      <c r="E5" s="31">
        <v>39.155161647775344</v>
      </c>
      <c r="F5" s="31">
        <v>86.994373466366</v>
      </c>
    </row>
    <row r="6" spans="1:6" x14ac:dyDescent="0.25">
      <c r="A6" s="30">
        <v>0.048017</v>
      </c>
      <c r="B6" s="31">
        <v>3.833603046607501</v>
      </c>
      <c r="C6" s="31">
        <v>4.022345504465421</v>
      </c>
      <c r="D6" s="31">
        <v>4.211087962323315</v>
      </c>
      <c r="E6" s="31">
        <v>4.399830420181216</v>
      </c>
      <c r="F6" s="31">
        <v>4.58857287803911</v>
      </c>
    </row>
    <row r="7" spans="1:6" x14ac:dyDescent="0.25">
      <c r="A7" s="30">
        <v>0.058017</v>
      </c>
      <c r="B7" s="31">
        <v>-3.96637002064865</v>
      </c>
      <c r="C7" s="31">
        <v>-3.8166947928444723</v>
      </c>
      <c r="D7" s="32">
        <v>-3.6670195650403077</v>
      </c>
      <c r="E7" s="31">
        <v>-3.5173443372361364</v>
      </c>
      <c r="F7" s="31">
        <v>-3.3676691094319713</v>
      </c>
    </row>
    <row r="8" spans="1:6" x14ac:dyDescent="0.25">
      <c r="A8" s="30">
        <v>0.068017</v>
      </c>
      <c r="B8" s="31">
        <v>-9.382292322588265</v>
      </c>
      <c r="C8" s="31">
        <v>-9.259914454069468</v>
      </c>
      <c r="D8" s="31">
        <v>-9.137536585550682</v>
      </c>
      <c r="E8" s="31">
        <v>-9.015158717031886</v>
      </c>
      <c r="F8" s="31">
        <v>-8.892780848513087</v>
      </c>
    </row>
    <row r="9" spans="1:6" x14ac:dyDescent="0.25">
      <c r="A9" s="30">
        <v>0.078017</v>
      </c>
      <c r="B9" s="31">
        <v>-13.335613611886442</v>
      </c>
      <c r="C9" s="31">
        <v>-13.233303722991076</v>
      </c>
      <c r="D9" s="31">
        <v>-13.130993834095706</v>
      </c>
      <c r="E9" s="31">
        <v>-13.028683945200344</v>
      </c>
      <c r="F9" s="31">
        <v>-12.926374056304974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2426700000</v>
      </c>
      <c r="C5" s="18">
        <v>2338200000</v>
      </c>
      <c r="D5" s="18">
        <v>2165100000</v>
      </c>
      <c r="E5" s="18">
        <v>1943300000</v>
      </c>
      <c r="F5" s="8" t="s">
        <v>84</v>
      </c>
    </row>
    <row r="6" spans="1:6" x14ac:dyDescent="0.25">
      <c r="A6" t="s">
        <v>44</v>
      </c>
      <c r="B6" s="18">
        <v>599500000</v>
      </c>
      <c r="C6" s="18">
        <v>505800000</v>
      </c>
      <c r="D6" s="18">
        <v>506600000</v>
      </c>
      <c r="E6" s="18">
        <v>501300000</v>
      </c>
      <c r="F6" s="8" t="s">
        <v>85</v>
      </c>
    </row>
    <row r="7" spans="1:6" x14ac:dyDescent="0.25">
      <c r="A7" t="s">
        <v>86</v>
      </c>
      <c r="B7" s="18">
        <v>454400000</v>
      </c>
      <c r="C7" s="18">
        <v>428300000</v>
      </c>
      <c r="D7" s="18">
        <v>417300000</v>
      </c>
      <c r="E7" s="18">
        <v>401600000</v>
      </c>
      <c r="F7" s="8" t="s">
        <v>87</v>
      </c>
    </row>
    <row r="8" spans="1:6" x14ac:dyDescent="0.25">
      <c r="A8" t="s">
        <v>88</v>
      </c>
      <c r="B8" s="18">
        <v>1592800000</v>
      </c>
      <c r="C8" s="18">
        <v>1199700000</v>
      </c>
      <c r="D8" s="18">
        <v>739700000</v>
      </c>
      <c r="E8" s="18">
        <v>646600000</v>
      </c>
      <c r="F8" s="8" t="s">
        <v>89</v>
      </c>
    </row>
    <row r="9" spans="1:6" x14ac:dyDescent="0.25">
      <c r="A9" t="s">
        <v>90</v>
      </c>
      <c r="B9" s="18">
        <v>82100000</v>
      </c>
      <c r="C9" s="18">
        <v>78700000</v>
      </c>
      <c r="D9" s="18">
        <v>89300000</v>
      </c>
      <c r="E9" s="18">
        <v>-11100000</v>
      </c>
      <c r="F9" s="8" t="s">
        <v>91</v>
      </c>
    </row>
    <row r="10" spans="1:6" x14ac:dyDescent="0.25">
      <c r="A10" t="s">
        <v>92</v>
      </c>
      <c r="B10" s="18">
        <v>9697100000</v>
      </c>
      <c r="C10" s="18">
        <v>8263200000</v>
      </c>
      <c r="D10" s="18">
        <v>7303600000</v>
      </c>
      <c r="E10" s="18">
        <v>6731100000</v>
      </c>
      <c r="F10" s="8" t="s">
        <v>93</v>
      </c>
    </row>
    <row r="11" spans="1:6" x14ac:dyDescent="0.25">
      <c r="A11" t="s">
        <v>94</v>
      </c>
      <c r="B11" s="18">
        <v>988800000</v>
      </c>
      <c r="C11" s="18">
        <v>909100000</v>
      </c>
      <c r="D11" s="18">
        <v>15800000</v>
      </c>
      <c r="E11" s="18">
        <v>90300000</v>
      </c>
      <c r="F11" s="8" t="s">
        <v>95</v>
      </c>
    </row>
    <row r="12" spans="1:6" x14ac:dyDescent="0.25">
      <c r="A12" t="s">
        <v>32</v>
      </c>
      <c r="B12" s="34">
        <v>300200000</v>
      </c>
      <c r="C12" s="34">
        <v>275700000</v>
      </c>
      <c r="D12" s="34">
        <v>251900000</v>
      </c>
      <c r="E12" s="34">
        <v>250293495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