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<sst xmlns="http://schemas.openxmlformats.org/spreadsheetml/2006/main" count="119" uniqueCount="106">
  <si>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Smurfit Westrock Plc (SW)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</si>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</sst>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0.03139957214792011</v>
      </c>
    </row>
    <row r="7" spans="1:2" x14ac:dyDescent="0.25">
      <c r="A7" t="s">
        <v>4</v>
      </c>
      <c r="B7" s="5">
        <v>0.09773477767932703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0.06479905837291025</v>
      </c>
    </row>
    <row r="10" spans="1:3" x14ac:dyDescent="0.25">
      <c r="A10" t="s">
        <v>7</v>
      </c>
      <c r="B10" s="5">
        <v>0.07135426884554491</v>
      </c>
      <c r="C10" s="6" t="s">
        <v>8</v>
      </c>
    </row>
    <row r="11" spans="1:2" x14ac:dyDescent="0.25">
      <c r="A11" t="s">
        <v>9</v>
      </c>
      <c r="B11" s="5">
        <v>0.1390073316585422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7.432515364893171</v>
      </c>
    </row>
    <row r="14" spans="1:3" x14ac:dyDescent="0.25">
      <c r="A14" t="s">
        <v>12</v>
      </c>
      <c r="B14" s="5">
        <v>0.08646743250914844</v>
      </c>
      <c r="C14" s="6" t="s">
        <v>13</v>
      </c>
    </row>
    <row r="15" spans="1:3" x14ac:dyDescent="0.25">
      <c r="A15" t="s">
        <v>14</v>
      </c>
      <c r="B15" s="5">
        <v>0.04988935193428237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0.94238</v>
      </c>
      <c r="C19" s="6" t="s">
        <v>21</v>
      </c>
    </row>
    <row r="20" spans="1:2" x14ac:dyDescent="0.25">
      <c r="A20" t="s">
        <v>22</v>
      </c>
      <c r="B20" s="9">
        <f>B17+B19*B18</f>
        <v>0.088802674</v>
      </c>
    </row>
    <row r="21" spans="1:3" x14ac:dyDescent="0.25">
      <c r="A21" t="s">
        <v>23</v>
      </c>
      <c r="B21" s="5">
        <v>0.061385559777842734</v>
      </c>
      <c r="C21" s="6" t="s">
        <v>24</v>
      </c>
    </row>
    <row r="22" spans="1:2" x14ac:dyDescent="0.25">
      <c r="A22" t="s">
        <v>25</v>
      </c>
      <c r="B22" s="10">
        <v>22601828352</v>
      </c>
    </row>
    <row r="23" spans="1:2" x14ac:dyDescent="0.25">
      <c r="A23" t="s">
        <v>26</v>
      </c>
      <c r="B23" s="10">
        <v>13773000000</v>
      </c>
    </row>
    <row r="24" spans="1:2" x14ac:dyDescent="0.25">
      <c r="A24" t="s">
        <v>27</v>
      </c>
      <c r="B24" s="9">
        <f>B22/(B22+B23)</f>
        <v>0.6213590379941211</v>
      </c>
    </row>
    <row r="25" spans="1:2" x14ac:dyDescent="0.25">
      <c r="A25" t="s">
        <v>28</v>
      </c>
      <c r="B25" s="9">
        <f>1-B24</f>
        <v>0.37864096200587893</v>
      </c>
    </row>
    <row r="26" spans="1:2" x14ac:dyDescent="0.25">
      <c r="A26" t="s">
        <v>29</v>
      </c>
      <c r="B26" s="11">
        <f>B24*B20+B25*B21*(1-B8)</f>
        <v>0.07354038313991143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31179000000</v>
      </c>
      <c r="C29" s="6" t="s">
        <v>32</v>
      </c>
    </row>
    <row r="30" spans="1:2" x14ac:dyDescent="0.25">
      <c r="A30" t="s">
        <v>33</v>
      </c>
      <c r="B30" s="10">
        <v>12881000000</v>
      </c>
    </row>
    <row r="31" spans="1:2" x14ac:dyDescent="0.25">
      <c r="A31" t="s">
        <v>34</v>
      </c>
      <c r="B31" s="12">
        <v>522310486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0.03139957214792011</v>
      </c>
      <c r="C5" s="5">
        <v>0.07031927014995021</v>
      </c>
      <c r="D5" s="5">
        <v>0.06465436138120643</v>
      </c>
      <c r="E5" s="5">
        <v>0.058989452612462655</v>
      </c>
      <c r="F5" s="5">
        <v>0.05332454384371888</v>
      </c>
      <c r="G5" s="5">
        <v>0.0476596350749751</v>
      </c>
      <c r="H5" s="5">
        <v>0.04199472630623133</v>
      </c>
      <c r="I5" s="5">
        <v>0.036329817537487555</v>
      </c>
      <c r="J5" s="5">
        <v>0.030664908768743775</v>
      </c>
      <c r="K5" s="5">
        <v>0.025</v>
      </c>
    </row>
    <row r="6" spans="1:11" x14ac:dyDescent="0.25">
      <c r="A6" t="s">
        <v>50</v>
      </c>
      <c r="B6" s="18">
        <f>Assumptions!B29*(1+B5)</f>
        <v>32158007260</v>
      </c>
      <c r="C6" s="18">
        <f>B6*(1+C5)</f>
        <v>34419334860</v>
      </c>
      <c r="D6" s="18">
        <f>C6*(1+D5)</f>
        <v>36644694974.5392</v>
      </c>
      <c r="E6" s="18">
        <f>D6*(1+E5)</f>
        <v>38806345472.23792</v>
      </c>
      <c r="F6" s="18">
        <f>E6*(1+F5)</f>
        <v>40875676142.78677</v>
      </c>
      <c r="G6" s="18">
        <f>F6*(1+G5)</f>
        <v>42823795951.19486</v>
      </c>
      <c r="H6" s="18">
        <f>G6*(1+H5)</f>
        <v>44622169541.55918</v>
      </c>
      <c r="I6" s="18">
        <f>H6*(1+I5)</f>
        <v>46243284819.13086</v>
      </c>
      <c r="J6" s="18">
        <f>I6*(1+J5)</f>
        <v>47661330929.27654</v>
      </c>
      <c r="K6" s="18">
        <f>J6*(1+K5)</f>
        <v>48852864202.50845</v>
      </c>
    </row>
    <row r="7" spans="1:11" x14ac:dyDescent="0.25">
      <c r="A7" t="s">
        <v>4</v>
      </c>
      <c r="B7" s="9">
        <f>Assumptions!B7</f>
        <v>0.09773477767932703</v>
      </c>
      <c r="C7" s="9">
        <f>Assumptions!B7</f>
        <v>0.09773477767932703</v>
      </c>
      <c r="D7" s="9">
        <f>Assumptions!B7</f>
        <v>0.09773477767932703</v>
      </c>
      <c r="E7" s="9">
        <f>Assumptions!B7</f>
        <v>0.09773477767932703</v>
      </c>
      <c r="F7" s="9">
        <f>Assumptions!B7</f>
        <v>0.09773477767932703</v>
      </c>
      <c r="G7" s="9">
        <f>Assumptions!B7</f>
        <v>0.09773477767932703</v>
      </c>
      <c r="H7" s="9">
        <f>Assumptions!B7</f>
        <v>0.09773477767932703</v>
      </c>
      <c r="I7" s="9">
        <f>Assumptions!B7</f>
        <v>0.09773477767932703</v>
      </c>
      <c r="J7" s="9">
        <f>Assumptions!B7</f>
        <v>0.09773477767932703</v>
      </c>
      <c r="K7" s="9">
        <f>Assumptions!B7</f>
        <v>0.09773477767932703</v>
      </c>
    </row>
    <row r="8" spans="1:11" x14ac:dyDescent="0.25">
      <c r="A8" t="s">
        <v>51</v>
      </c>
      <c r="B8" s="18">
        <f>B6*B7</f>
        <v>3142955690.1662846</v>
      </c>
      <c r="C8" s="18">
        <f>C6*C7</f>
        <v>3363966040.4124107</v>
      </c>
      <c r="D8" s="18">
        <f>D6*D7</f>
        <v>3581461116.463341</v>
      </c>
      <c r="E8" s="18">
        <f>E6*E7</f>
        <v>3792729547.276333</v>
      </c>
      <c r="F8" s="18">
        <f>F6*F7</f>
        <v>3994975120.3074374</v>
      </c>
      <c r="G8" s="18">
        <f>G6*G7</f>
        <v>4185374176.674895</v>
      </c>
      <c r="H8" s="18">
        <f>H6*H7</f>
        <v>4361137819.713525</v>
      </c>
      <c r="I8" s="18">
        <f>I6*I7</f>
        <v>4519577160.959554</v>
      </c>
      <c r="J8" s="18">
        <f>J6*J7</f>
        <v>4658169582.273676</v>
      </c>
      <c r="K8" s="18">
        <f>K6*K7</f>
        <v>4774623821.830518</v>
      </c>
    </row>
    <row r="9" spans="1:11" x14ac:dyDescent="0.25">
      <c r="A9" t="s">
        <v>52</v>
      </c>
      <c r="B9" s="18">
        <f>B8*(1-Assumptions!B8)</f>
        <v>2482934995.2313647</v>
      </c>
      <c r="C9" s="18">
        <f>C8*(1-Assumptions!B8)</f>
        <v>2657533171.9258046</v>
      </c>
      <c r="D9" s="18">
        <f>D8*(1-Assumptions!B8)</f>
        <v>2829354282.0060396</v>
      </c>
      <c r="E9" s="18">
        <f>E8*(1-Assumptions!B8)</f>
        <v>2996256342.3483033</v>
      </c>
      <c r="F9" s="18">
        <f>F8*(1-Assumptions!B8)</f>
        <v>3156030345.042876</v>
      </c>
      <c r="G9" s="18">
        <f>G8*(1-Assumptions!B8)</f>
        <v>3306445599.573167</v>
      </c>
      <c r="H9" s="18">
        <f>H8*(1-Assumptions!B8)</f>
        <v>3445298877.5736847</v>
      </c>
      <c r="I9" s="18">
        <f>I8*(1-Assumptions!B8)</f>
        <v>3570465957.1580477</v>
      </c>
      <c r="J9" s="18">
        <f>J8*(1-Assumptions!B8)</f>
        <v>3679953969.9962044</v>
      </c>
      <c r="K9" s="18">
        <f>K8*(1-Assumptions!B8)</f>
        <v>3771952819.246109</v>
      </c>
    </row>
    <row r="10" spans="1:11" x14ac:dyDescent="0.25">
      <c r="A10" t="s">
        <v>53</v>
      </c>
      <c r="B10" s="18">
        <f>B6*Assumptions!B9</f>
        <v>2083808589.5972116</v>
      </c>
      <c r="C10" s="18">
        <f>C6*Assumptions!B9</f>
        <v>2230340488.7498846</v>
      </c>
      <c r="D10" s="18">
        <f>D6*Assumptions!B9</f>
        <v>2374541728.7126565</v>
      </c>
      <c r="E10" s="18">
        <f>E6*Assumptions!B9</f>
        <v>2514614645.4948664</v>
      </c>
      <c r="F10" s="18">
        <f>F6*Assumptions!B9</f>
        <v>2648705324.408615</v>
      </c>
      <c r="G10" s="18">
        <f>G6*Assumptions!B9</f>
        <v>2774941653.5910735</v>
      </c>
      <c r="H10" s="18">
        <f>H6*Assumptions!B9</f>
        <v>2891474568.8493915</v>
      </c>
      <c r="I10" s="18">
        <f>I6*Assumptions!B9</f>
        <v>2996521312.349975</v>
      </c>
      <c r="J10" s="18">
        <f>J6*Assumptions!B9</f>
        <v>3088409365.016783</v>
      </c>
      <c r="K10" s="18">
        <f>K6*Assumptions!B9</f>
        <v>3165619599.142203</v>
      </c>
    </row>
    <row r="11" spans="1:11" x14ac:dyDescent="0.25">
      <c r="A11" t="s">
        <v>54</v>
      </c>
      <c r="B11" s="18">
        <f>-B6*B19</f>
        <v>-2294611095.567025</v>
      </c>
      <c r="C11" s="18">
        <f>-C6*C19</f>
        <v>-2472274260.233239</v>
      </c>
      <c r="D11" s="18">
        <f>-D6*D19</f>
        <v>-2649479730.399369</v>
      </c>
      <c r="E11" s="18">
        <f>-E6*E19</f>
        <v>-2824157430.2355843</v>
      </c>
      <c r="F11" s="18">
        <f>-F6*F19</f>
        <v>-2994121121.015716</v>
      </c>
      <c r="G11" s="18">
        <f>-G6*G19</f>
        <v>-3157109638.944923</v>
      </c>
      <c r="H11" s="18">
        <f>-H6*H19</f>
        <v>-3310833456.593435</v>
      </c>
      <c r="I11" s="18">
        <f>-I6*I19</f>
        <v>-3453025374.4156694</v>
      </c>
      <c r="J11" s="18">
        <f>-J6*J19</f>
        <v>-3581493891.33174</v>
      </c>
      <c r="K11" s="18">
        <f>-K6*K19</f>
        <v>-3694177592.669327</v>
      </c>
    </row>
    <row r="12" spans="1:11" x14ac:dyDescent="0.25">
      <c r="A12" t="s">
        <v>55</v>
      </c>
      <c r="B12" s="18">
        <f>-(B6-Assumptions!B29)*Assumptions!B11</f>
        <v>-136089186.88694066</v>
      </c>
      <c r="C12" s="18">
        <f>-(C6-B6)*Assumptions!B11</f>
        <v>-314341115.68181527</v>
      </c>
      <c r="D12" s="18">
        <f>-(D6-C6)*Assumptions!B11</f>
        <v>-309341371.501442</v>
      </c>
      <c r="E12" s="18">
        <f>-(E6-D6)*Assumptions!B11</f>
        <v>-300485267.6634592</v>
      </c>
      <c r="F12" s="18">
        <f>-(F6-E6)*Assumptions!B11</f>
        <v>-287652134.83217764</v>
      </c>
      <c r="G12" s="18">
        <f>-(G6-F6)*Assumptions!B11</f>
        <v>-270802936.3179589</v>
      </c>
      <c r="H12" s="18">
        <f>-(H6-G6)*Assumptions!B11</f>
        <v>-249987114.1217362</v>
      </c>
      <c r="I12" s="18">
        <f>-(I6-H6)*Assumptions!B11</f>
        <v>-225346909.04613596</v>
      </c>
      <c r="J12" s="18">
        <f>-(J6-I6)*Assumptions!B11</f>
        <v>-197118805.94012666</v>
      </c>
      <c r="K12" s="18">
        <f>-(K6-J6)*Assumptions!B11</f>
        <v>-165631860.8943366</v>
      </c>
    </row>
    <row r="13" spans="1:11" x14ac:dyDescent="0.25">
      <c r="A13" s="19" t="s">
        <v>56</v>
      </c>
      <c r="B13" s="20">
        <f>B9+B10+B11+B12</f>
        <v>2136043302.3746102</v>
      </c>
      <c r="C13" s="20">
        <f>C9+C10+C11+C12</f>
        <v>2101258284.7606354</v>
      </c>
      <c r="D13" s="20">
        <f>D9+D10+D11+D12</f>
        <v>2245074908.817886</v>
      </c>
      <c r="E13" s="20">
        <f>E9+E10+E11+E12</f>
        <v>2386228289.9441266</v>
      </c>
      <c r="F13" s="20">
        <f>F9+F10+F11+F12</f>
        <v>2522962413.6035967</v>
      </c>
      <c r="G13" s="20">
        <f>G9+G10+G11+G12</f>
        <v>2653474677.901358</v>
      </c>
      <c r="H13" s="20">
        <f>H9+H10+H11+H12</f>
        <v>2775952875.707906</v>
      </c>
      <c r="I13" s="20">
        <f>I9+I10+I11+I12</f>
        <v>2888614986.046217</v>
      </c>
      <c r="J13" s="20">
        <f>J9+J10+J11+J12</f>
        <v>2989750637.7411203</v>
      </c>
      <c r="K13" s="20">
        <f>K9+K10+K11+K12</f>
        <v>3077762964.824648</v>
      </c>
    </row>
    <row r="14" spans="1:11" x14ac:dyDescent="0.25">
      <c r="A14" t="s">
        <v>57</v>
      </c>
      <c r="B14" s="21">
        <f>1/(1+Assumptions!$B$26)^(1-0.5*Assumptions!$B$32)</f>
        <v>0.9651410930507126</v>
      </c>
      <c r="C14" s="21">
        <f>1/(1+Assumptions!$B$26)^(2-0.5*Assumptions!$B$32)</f>
        <v>0.8990263507627438</v>
      </c>
      <c r="D14" s="21">
        <f>1/(1+Assumptions!$B$26)^(3-0.5*Assumptions!$B$32)</f>
        <v>0.8374406448812427</v>
      </c>
      <c r="E14" s="21">
        <f>1/(1+Assumptions!$B$26)^(4-0.5*Assumptions!$B$32)</f>
        <v>0.7800737243175523</v>
      </c>
      <c r="F14" s="21">
        <f>1/(1+Assumptions!$B$26)^(5-0.5*Assumptions!$B$32)</f>
        <v>0.7266365910111157</v>
      </c>
      <c r="G14" s="21">
        <f>1/(1+Assumptions!$B$26)^(6-0.5*Assumptions!$B$32)</f>
        <v>0.6768600440402949</v>
      </c>
      <c r="H14" s="21">
        <f>1/(1+Assumptions!$B$26)^(7-0.5*Assumptions!$B$32)</f>
        <v>0.6304933234654868</v>
      </c>
      <c r="I14" s="21">
        <f>1/(1+Assumptions!$B$26)^(8-0.5*Assumptions!$B$32)</f>
        <v>0.5873028470726065</v>
      </c>
      <c r="J14" s="21">
        <f>1/(1+Assumptions!$B$26)^(9-0.5*Assumptions!$B$32)</f>
        <v>0.5470710336530162</v>
      </c>
      <c r="K14" s="21">
        <f>1/(1+Assumptions!$B$26)^(10-0.5*Assumptions!$B$32)</f>
        <v>0.5095952068919218</v>
      </c>
    </row>
    <row r="15" spans="1:11" x14ac:dyDescent="0.25">
      <c r="A15" s="19" t="s">
        <v>58</v>
      </c>
      <c r="B15" s="20">
        <f>B13*B14</f>
        <v>2061583167.657485</v>
      </c>
      <c r="C15" s="20">
        <f>C13*C14</f>
        <v>1889086567.7583365</v>
      </c>
      <c r="D15" s="20">
        <f>D13*D14</f>
        <v>1880116979.4471476</v>
      </c>
      <c r="E15" s="20">
        <f>E13*E14</f>
        <v>1861433989.2086189</v>
      </c>
      <c r="F15" s="20">
        <f>F13*F14</f>
        <v>1833276807.470094</v>
      </c>
      <c r="G15" s="20">
        <f>G13*G14</f>
        <v>1796030987.3441205</v>
      </c>
      <c r="H15" s="20">
        <f>H13*H14</f>
        <v>1750219754.388653</v>
      </c>
      <c r="I15" s="20">
        <f>I13*I14</f>
        <v>1696491805.4015408</v>
      </c>
      <c r="J15" s="20">
        <f>J13*J14</f>
        <v>1635605971.7537992</v>
      </c>
      <c r="K15" s="20">
        <f>K13*K14</f>
        <v>1568413254.8241112</v>
      </c>
    </row>
    <row r="17" spans="1:2" x14ac:dyDescent="0.25">
      <c r="A17" s="22" t="s">
        <v>59</v>
      </c>
      <c r="B17" s="23">
        <f>SUM(B15:K15)</f>
        <v>17972259285.253906</v>
      </c>
    </row>
    <row r="19" spans="1:11" x14ac:dyDescent="0.25">
      <c r="A19" t="s">
        <v>7</v>
      </c>
      <c r="B19" s="9">
        <f>Assumptions!$B$10+($B$20-Assumptions!$B$10)*0/9</f>
        <v>0.07135426884554491</v>
      </c>
      <c r="C19" s="9">
        <f>Assumptions!$B$10+($B$20-Assumptions!$B$10)*1/9</f>
        <v>0.0718280661229849</v>
      </c>
      <c r="D19" s="9">
        <f>Assumptions!$B$10+($B$20-Assumptions!$B$10)*2/9</f>
        <v>0.07230186340042487</v>
      </c>
      <c r="E19" s="9">
        <f>Assumptions!$B$10+($B$20-Assumptions!$B$10)*3/9</f>
        <v>0.07277566067786485</v>
      </c>
      <c r="F19" s="9">
        <f>Assumptions!$B$10+($B$20-Assumptions!$B$10)*4/9</f>
        <v>0.07324945795530483</v>
      </c>
      <c r="G19" s="9">
        <f>Assumptions!$B$10+($B$20-Assumptions!$B$10)*5/9</f>
        <v>0.07372325523274481</v>
      </c>
      <c r="H19" s="9">
        <f>Assumptions!$B$10+($B$20-Assumptions!$B$10)*6/9</f>
        <v>0.07419705251018478</v>
      </c>
      <c r="I19" s="9">
        <f>Assumptions!$B$10+($B$20-Assumptions!$B$10)*7/9</f>
        <v>0.07467084978762477</v>
      </c>
      <c r="J19" s="9">
        <f>Assumptions!$B$10+($B$20-Assumptions!$B$10)*8/9</f>
        <v>0.07514464706506474</v>
      </c>
      <c r="K19" s="9">
        <f>Assumptions!$B$10+($B$20-Assumptions!$B$10)*9/9</f>
        <v>0.07561844434250473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0.07561844434250473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3077762964.824648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4347374491.763097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0.28912619785900256</v>
      </c>
    </row>
    <row r="7" spans="1:2" x14ac:dyDescent="0.25">
      <c r="A7" t="s">
        <v>66</v>
      </c>
      <c r="B7" s="18">
        <f>-MAX(B5,0)*B6</f>
        <v>-1256939857.472678</v>
      </c>
    </row>
    <row r="8" spans="1:2" x14ac:dyDescent="0.25">
      <c r="A8" t="s">
        <v>67</v>
      </c>
      <c r="B8" s="18">
        <f>IF(OR(Assumptions!$B$33=0,Assumptions!B12&lt;=0),B5,MAX(B5+B7,0))</f>
        <v>3090434634.2904186</v>
      </c>
    </row>
    <row r="9" spans="1:2" x14ac:dyDescent="0.25">
      <c r="A9" t="s">
        <v>68</v>
      </c>
      <c r="B9" s="18">
        <f>B8*(1+Assumptions!B12)/(Assumptions!B26-Assumptions!B12)</f>
        <v>65258971916.58341</v>
      </c>
    </row>
    <row r="10" spans="1:2" x14ac:dyDescent="0.25">
      <c r="A10" t="s">
        <v>69</v>
      </c>
      <c r="B10" s="18">
        <f>B9/(1+Assumptions!B26)^(10-0.5*Assumptions!B32)</f>
        <v>33255659295.38544</v>
      </c>
    </row>
    <row r="11" spans="1:2" x14ac:dyDescent="0.25">
      <c r="A11" t="s">
        <v>70</v>
      </c>
      <c r="B11" s="18">
        <f>Forecast!B17+B10</f>
        <v>51227918580.63934</v>
      </c>
    </row>
    <row r="12" spans="1:2" x14ac:dyDescent="0.25">
      <c r="A12" t="s">
        <v>71</v>
      </c>
      <c r="B12" s="18">
        <f>-Assumptions!B30</f>
        <v>-12881000000</v>
      </c>
    </row>
    <row r="13" spans="1:2" x14ac:dyDescent="0.25">
      <c r="A13" t="s">
        <v>72</v>
      </c>
      <c r="B13" s="18">
        <f>B11+B12</f>
        <v>38346918580.63934</v>
      </c>
    </row>
    <row r="14" spans="1:2" x14ac:dyDescent="0.25">
      <c r="A14" s="19" t="s">
        <v>73</v>
      </c>
      <c r="B14" s="24">
        <f>B13/Assumptions!B31</f>
        <v>73.41786084807676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7940243420.972721</v>
      </c>
    </row>
    <row r="18" spans="1:2" x14ac:dyDescent="0.25">
      <c r="A18" t="s">
        <v>68</v>
      </c>
      <c r="B18" s="18">
        <f>B17*Assumptions!B13</f>
        <v>59015981227.371666</v>
      </c>
    </row>
    <row r="19" spans="1:2" x14ac:dyDescent="0.25">
      <c r="A19" t="s">
        <v>69</v>
      </c>
      <c r="B19" s="18">
        <f>B18/(1+Assumptions!B26)^(10-0.5*Assumptions!B32)</f>
        <v>30074261163.49224</v>
      </c>
    </row>
    <row r="20" spans="1:2" x14ac:dyDescent="0.25">
      <c r="A20" t="s">
        <v>70</v>
      </c>
      <c r="B20" s="18">
        <f>Forecast!B17+B19</f>
        <v>48046520448.74615</v>
      </c>
    </row>
    <row r="21" spans="1:2" x14ac:dyDescent="0.25">
      <c r="A21" t="s">
        <v>71</v>
      </c>
      <c r="B21" s="18">
        <f>-Assumptions!B30</f>
        <v>-12881000000</v>
      </c>
    </row>
    <row r="22" spans="1:2" x14ac:dyDescent="0.25">
      <c r="A22" t="s">
        <v>72</v>
      </c>
      <c r="B22" s="18">
        <f>B20+B21</f>
        <v>35165520448.74615</v>
      </c>
    </row>
    <row r="23" spans="1:2" x14ac:dyDescent="0.25">
      <c r="A23" s="19" t="s">
        <v>73</v>
      </c>
      <c r="B23" s="25">
        <f>B22/Assumptions!B31</f>
        <v>67.32685134861747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43.09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73.41786084807676</v>
      </c>
    </row>
    <row r="29" spans="1:2" x14ac:dyDescent="0.25">
      <c r="A29" s="19" t="s">
        <v>81</v>
      </c>
      <c r="B29" s="11">
        <f>B28/B26-1</f>
        <v>0.7038259653765782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0.05354</v>
      </c>
      <c r="B5" s="31">
        <v>126.51212185412963</v>
      </c>
      <c r="C5" s="31">
        <v>133.136666504673</v>
      </c>
      <c r="D5" s="31">
        <v>142.51868328217788</v>
      </c>
      <c r="E5" s="31">
        <v>156.41526997357812</v>
      </c>
      <c r="F5" s="31">
        <v>178.4789912341288</v>
      </c>
    </row>
    <row r="6" spans="1:6" x14ac:dyDescent="0.25">
      <c r="A6" s="30">
        <v>0.06354</v>
      </c>
      <c r="B6" s="31">
        <v>94.34881497866452</v>
      </c>
      <c r="C6" s="31">
        <v>96.26638894935746</v>
      </c>
      <c r="D6" s="31">
        <v>98.98649744238443</v>
      </c>
      <c r="E6" s="31">
        <v>102.8680557181812</v>
      </c>
      <c r="F6" s="31">
        <v>108.52149638857476</v>
      </c>
    </row>
    <row r="7" spans="1:6" x14ac:dyDescent="0.25">
      <c r="A7" s="30">
        <v>0.07354</v>
      </c>
      <c r="B7" s="31">
        <v>73.24366357699202</v>
      </c>
      <c r="C7" s="31">
        <v>73.2192812207879</v>
      </c>
      <c r="D7" s="32">
        <v>73.41863813039903</v>
      </c>
      <c r="E7" s="31">
        <v>73.91881489809072</v>
      </c>
      <c r="F7" s="31">
        <v>74.8368924234791</v>
      </c>
    </row>
    <row r="8" spans="1:6" x14ac:dyDescent="0.25">
      <c r="A8" s="30">
        <v>0.08354</v>
      </c>
      <c r="B8" s="31">
        <v>58.35199464357855</v>
      </c>
      <c r="C8" s="31">
        <v>57.46563780438988</v>
      </c>
      <c r="D8" s="31">
        <v>56.60722419164098</v>
      </c>
      <c r="E8" s="31">
        <v>55.78458250157015</v>
      </c>
      <c r="F8" s="31">
        <v>55.008767098416556</v>
      </c>
    </row>
    <row r="9" spans="1:6" x14ac:dyDescent="0.25">
      <c r="A9" s="30">
        <v>0.09354</v>
      </c>
      <c r="B9" s="31">
        <v>48.172248216784304</v>
      </c>
      <c r="C9" s="31">
        <v>47.253772849989566</v>
      </c>
      <c r="D9" s="31">
        <v>46.335297483194815</v>
      </c>
      <c r="E9" s="31">
        <v>45.41682211640006</v>
      </c>
      <c r="F9" s="31">
        <v>44.49834674960533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31179000000</v>
      </c>
      <c r="C5" s="18">
        <v>21109000000</v>
      </c>
      <c r="D5" s="18">
        <v>12093000000</v>
      </c>
      <c r="E5" s="18">
        <v>13509000000</v>
      </c>
      <c r="F5" s="6" t="s">
        <v>91</v>
      </c>
    </row>
    <row r="6" spans="1:6" x14ac:dyDescent="0.25">
      <c r="A6" t="s">
        <v>51</v>
      </c>
      <c r="B6" s="18">
        <v>2224000000</v>
      </c>
      <c r="C6" s="18">
        <v>1458000000</v>
      </c>
      <c r="D6" s="18">
        <v>1482000000</v>
      </c>
      <c r="E6" s="18">
        <v>1729000000</v>
      </c>
      <c r="F6" s="6" t="s">
        <v>92</v>
      </c>
    </row>
    <row r="7" spans="1:6" x14ac:dyDescent="0.25">
      <c r="A7" t="s">
        <v>93</v>
      </c>
      <c r="B7" s="18">
        <v>2550000000</v>
      </c>
      <c r="C7" s="18">
        <v>1464000000</v>
      </c>
      <c r="D7" s="18">
        <v>701928922.787818</v>
      </c>
      <c r="E7" s="18">
        <v>675610462.310588</v>
      </c>
      <c r="F7" s="6" t="s">
        <v>94</v>
      </c>
    </row>
    <row r="8" spans="1:6" x14ac:dyDescent="0.25">
      <c r="A8" t="s">
        <v>95</v>
      </c>
      <c r="B8" s="18">
        <v>2192000000</v>
      </c>
      <c r="C8" s="18">
        <v>1466000000</v>
      </c>
      <c r="D8" s="18">
        <v>929000000</v>
      </c>
      <c r="E8" s="18">
        <v>930000000</v>
      </c>
      <c r="F8" s="6" t="s">
        <v>96</v>
      </c>
    </row>
    <row r="9" spans="1:6" x14ac:dyDescent="0.25">
      <c r="A9" t="s">
        <v>97</v>
      </c>
      <c r="B9" s="18">
        <v>-71000000</v>
      </c>
      <c r="C9" s="18">
        <v>349000000</v>
      </c>
      <c r="D9" s="18">
        <v>-159000000</v>
      </c>
      <c r="E9" s="18">
        <v>317000000</v>
      </c>
      <c r="F9" s="6" t="s">
        <v>98</v>
      </c>
    </row>
    <row r="10" spans="1:6" x14ac:dyDescent="0.25">
      <c r="A10" t="s">
        <v>99</v>
      </c>
      <c r="B10" s="18">
        <v>13773000000</v>
      </c>
      <c r="C10" s="18">
        <v>13595000000</v>
      </c>
      <c r="D10" s="18">
        <v>3747000000</v>
      </c>
      <c r="E10" s="18">
        <v>4053662773.863527</v>
      </c>
      <c r="F10" s="6" t="s">
        <v>100</v>
      </c>
    </row>
    <row r="11" spans="1:6" x14ac:dyDescent="0.25">
      <c r="A11" t="s">
        <v>101</v>
      </c>
      <c r="B11" s="18">
        <v>892000000</v>
      </c>
      <c r="C11" s="18">
        <v>855000000</v>
      </c>
      <c r="D11" s="18">
        <v>1000000000</v>
      </c>
      <c r="E11" s="18">
        <v>833252903.516392</v>
      </c>
      <c r="F11" s="6" t="s">
        <v>102</v>
      </c>
    </row>
    <row r="12" spans="1:6" x14ac:dyDescent="0.25">
      <c r="A12" t="s">
        <v>34</v>
      </c>
      <c r="B12" s="34">
        <v>522310486</v>
      </c>
      <c r="C12" s="34">
        <v>389024390</v>
      </c>
      <c r="D12" s="34">
        <v>260000000</v>
      </c>
      <c r="E12" s="34">
        <v>261000000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