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<sst xmlns="http://schemas.openxmlformats.org/spreadsheetml/2006/main" count="111" uniqueCount="99">
  <si>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Smurfit Westrock Plc (SW)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</si>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</sst>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0.3215380139788915</v>
      </c>
    </row>
    <row r="7" spans="1:2" x14ac:dyDescent="0.25">
      <c r="A7" t="s">
        <v>5</v>
      </c>
      <c r="B7" s="6">
        <v>0.09773477767932703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0.06479905837291025</v>
      </c>
    </row>
    <row r="10" spans="1:2" x14ac:dyDescent="0.25">
      <c r="A10" t="s">
        <v>8</v>
      </c>
      <c r="B10" s="6">
        <v>0.07135426884554491</v>
      </c>
    </row>
    <row r="11" spans="1:2" x14ac:dyDescent="0.25">
      <c r="A11" t="s">
        <v>9</v>
      </c>
      <c r="B11" s="6">
        <v>0.038708961845607806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7.568726669459573</v>
      </c>
    </row>
    <row r="14" spans="1:3" x14ac:dyDescent="0.25">
      <c r="A14" t="s">
        <v>12</v>
      </c>
      <c r="B14" s="6">
        <v>0.08646743250914844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0.95377</v>
      </c>
      <c r="C19" s="8" t="s">
        <v>19</v>
      </c>
    </row>
    <row r="20" spans="1:2" x14ac:dyDescent="0.25">
      <c r="A20" t="s">
        <v>20</v>
      </c>
      <c r="B20" s="10">
        <f>B17+B19*B18</f>
        <v>0.10243735000000001</v>
      </c>
    </row>
    <row r="21" spans="1:3" x14ac:dyDescent="0.25">
      <c r="A21" t="s">
        <v>21</v>
      </c>
      <c r="B21" s="6">
        <v>0.061385559777842734</v>
      </c>
      <c r="C21" s="8" t="s">
        <v>22</v>
      </c>
    </row>
    <row r="22" spans="1:2" x14ac:dyDescent="0.25">
      <c r="A22" t="s">
        <v>23</v>
      </c>
      <c r="B22" s="11">
        <v>23252101120</v>
      </c>
    </row>
    <row r="23" spans="1:2" x14ac:dyDescent="0.25">
      <c r="A23" t="s">
        <v>24</v>
      </c>
      <c r="B23" s="11">
        <v>13773000000</v>
      </c>
    </row>
    <row r="24" spans="1:2" x14ac:dyDescent="0.25">
      <c r="A24" t="s">
        <v>25</v>
      </c>
      <c r="B24" s="10">
        <f>B22/(B22+B23)</f>
        <v>0.6280091185879252</v>
      </c>
    </row>
    <row r="25" spans="1:2" x14ac:dyDescent="0.25">
      <c r="A25" t="s">
        <v>26</v>
      </c>
      <c r="B25" s="10">
        <f>1-B24</f>
        <v>0.3719908814120748</v>
      </c>
    </row>
    <row r="26" spans="1:2" x14ac:dyDescent="0.25">
      <c r="A26" t="s">
        <v>27</v>
      </c>
      <c r="B26" s="12">
        <f>B24*B20+B25*B21*(1-B8)</f>
        <v>0.08237113598929213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31179000000</v>
      </c>
      <c r="C29" s="8" t="s">
        <v>30</v>
      </c>
    </row>
    <row r="30" spans="1:2" x14ac:dyDescent="0.25">
      <c r="A30" t="s">
        <v>31</v>
      </c>
      <c r="B30" s="11">
        <v>12881000000</v>
      </c>
    </row>
    <row r="31" spans="1:2" x14ac:dyDescent="0.25">
      <c r="A31" t="s">
        <v>32</v>
      </c>
      <c r="B31" s="13">
        <v>522310486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0.3215380139788915</v>
      </c>
      <c r="C5" s="10">
        <f>Assumptions!B6</f>
        <v>0.3215380139788915</v>
      </c>
      <c r="D5" s="10">
        <f>Assumptions!B6</f>
        <v>0.3215380139788915</v>
      </c>
      <c r="E5" s="10">
        <f>Assumptions!B6</f>
        <v>0.3215380139788915</v>
      </c>
      <c r="F5" s="10">
        <f>Assumptions!B6</f>
        <v>0.3215380139788915</v>
      </c>
    </row>
    <row r="6" spans="1:6" x14ac:dyDescent="0.25">
      <c r="A6" t="s">
        <v>43</v>
      </c>
      <c r="B6" s="18">
        <f>Assumptions!B29*(1+B5)</f>
        <v>41204233737.847855</v>
      </c>
      <c r="C6" s="18">
        <f>B6*(1+C5)</f>
        <v>54452961221.43749</v>
      </c>
      <c r="D6" s="18">
        <f>C6*(1+D5)</f>
        <v>71961658227.8481</v>
      </c>
      <c r="E6" s="18">
        <f>D6*(1+E5)</f>
        <v>95100066897.05814</v>
      </c>
      <c r="F6" s="18">
        <f>E6*(1+F5)</f>
        <v>125678353536.39793</v>
      </c>
    </row>
    <row r="7" spans="1:6" x14ac:dyDescent="0.25">
      <c r="A7" t="s">
        <v>5</v>
      </c>
      <c r="B7" s="10">
        <f>Assumptions!B7</f>
        <v>0.09773477767932703</v>
      </c>
      <c r="C7" s="10">
        <f>Assumptions!B7</f>
        <v>0.09773477767932703</v>
      </c>
      <c r="D7" s="10">
        <f>Assumptions!B7</f>
        <v>0.09773477767932703</v>
      </c>
      <c r="E7" s="10">
        <f>Assumptions!B7</f>
        <v>0.09773477767932703</v>
      </c>
      <c r="F7" s="10">
        <f>Assumptions!B7</f>
        <v>0.09773477767932703</v>
      </c>
    </row>
    <row r="8" spans="1:6" x14ac:dyDescent="0.25">
      <c r="A8" t="s">
        <v>44</v>
      </c>
      <c r="B8" s="18">
        <f>B6*B7</f>
        <v>4027086623.8155866</v>
      </c>
      <c r="C8" s="18">
        <f>C6*C7</f>
        <v>5321948058.95821</v>
      </c>
      <c r="D8" s="18">
        <f>D6*D7</f>
        <v>7033156668.334449</v>
      </c>
      <c r="E8" s="18">
        <f>E6*E7</f>
        <v>9294583895.473104</v>
      </c>
      <c r="F8" s="18">
        <f>F6*F7</f>
        <v>12283145941.983717</v>
      </c>
    </row>
    <row r="9" spans="1:6" x14ac:dyDescent="0.25">
      <c r="A9" t="s">
        <v>45</v>
      </c>
      <c r="B9" s="18">
        <f>B8*(1-Assumptions!B8)</f>
        <v>3181398432.8143134</v>
      </c>
      <c r="C9" s="18">
        <f>C8*(1-Assumptions!B8)</f>
        <v>4204338966.5769863</v>
      </c>
      <c r="D9" s="18">
        <f>D8*(1-Assumptions!B8)</f>
        <v>5556193767.984215</v>
      </c>
      <c r="E9" s="18">
        <f>E8*(1-Assumptions!B8)</f>
        <v>7342721277.423753</v>
      </c>
      <c r="F9" s="18">
        <f>F8*(1-Assumptions!B8)</f>
        <v>9703685294.167137</v>
      </c>
    </row>
    <row r="10" spans="1:6" x14ac:dyDescent="0.25">
      <c r="A10" t="s">
        <v>46</v>
      </c>
      <c r="B10" s="18">
        <f>B6*Assumptions!B9</f>
        <v>2669995547.1898413</v>
      </c>
      <c r="C10" s="18">
        <f>C6*Assumptions!B9</f>
        <v>3528500612.765746</v>
      </c>
      <c r="D10" s="18">
        <f>D6*Assumptions!B9</f>
        <v>4663047692.117746</v>
      </c>
      <c r="E10" s="18">
        <f>E6*Assumptions!B9</f>
        <v>6162394786.13014</v>
      </c>
      <c r="F10" s="18">
        <f>F6*Assumptions!B9</f>
        <v>8143838967.016301</v>
      </c>
    </row>
    <row r="11" spans="1:6" x14ac:dyDescent="0.25">
      <c r="A11" t="s">
        <v>47</v>
      </c>
      <c r="B11" s="18">
        <f>-B6*Assumptions!B10</f>
        <v>-2940097971.7050676</v>
      </c>
      <c r="C11" s="18">
        <f>-C6*Assumptions!B10</f>
        <v>-3885451234.4304824</v>
      </c>
      <c r="D11" s="18">
        <f>-D6*Assumptions!B10</f>
        <v>-5134771507.761092</v>
      </c>
      <c r="E11" s="18">
        <f>-E6*Assumptions!B10</f>
        <v>-6785795740.601993</v>
      </c>
      <c r="F11" s="18">
        <f>-F6*Assumptions!B10</f>
        <v>-8967687026.301579</v>
      </c>
    </row>
    <row r="12" spans="1:6" x14ac:dyDescent="0.25">
      <c r="A12" t="s">
        <v>48</v>
      </c>
      <c r="B12" s="18">
        <f>-(B6-Assumptions!B29)*Assumptions!B11</f>
        <v>-388066390.2516527</v>
      </c>
      <c r="C12" s="18">
        <f>-(C6-B6)*Assumptions!B11</f>
        <v>-512844486.6651268</v>
      </c>
      <c r="D12" s="18">
        <f>-(D6-C6)*Assumptions!B11</f>
        <v>-677743484.3874558</v>
      </c>
      <c r="E12" s="18">
        <f>-(E6-D6)*Assumptions!B11</f>
        <v>-895663778.3445323</v>
      </c>
      <c r="F12" s="18">
        <f>-(F6-E6)*Assumptions!B11</f>
        <v>-1183653730.8262632</v>
      </c>
    </row>
    <row r="13" spans="1:6" x14ac:dyDescent="0.25">
      <c r="A13" s="19" t="s">
        <v>49</v>
      </c>
      <c r="B13" s="20">
        <f>B9+B10+B11+B12</f>
        <v>2523229618.047434</v>
      </c>
      <c r="C13" s="20">
        <f>C9+C10+C11+C12</f>
        <v>3334543858.2471232</v>
      </c>
      <c r="D13" s="20">
        <f>D9+D10+D11+D12</f>
        <v>4406726467.953413</v>
      </c>
      <c r="E13" s="20">
        <f>E9+E10+E11+E12</f>
        <v>5823656544.607369</v>
      </c>
      <c r="F13" s="20">
        <f>F9+F10+F11+F12</f>
        <v>7696183504.055595</v>
      </c>
    </row>
    <row r="14" spans="1:6" x14ac:dyDescent="0.25">
      <c r="A14" t="s">
        <v>50</v>
      </c>
      <c r="B14" s="21">
        <f>1/(1+Assumptions!$B$26)^(1-0.5*Assumptions!$B$32)</f>
        <v>0.9611958761712015</v>
      </c>
      <c r="C14" s="21">
        <f>1/(1+Assumptions!$B$26)^(2-0.5*Assumptions!$B$32)</f>
        <v>0.8880464788934567</v>
      </c>
      <c r="D14" s="21">
        <f>1/(1+Assumptions!$B$26)^(3-0.5*Assumptions!$B$32)</f>
        <v>0.8204639327172912</v>
      </c>
      <c r="E14" s="21">
        <f>1/(1+Assumptions!$B$26)^(4-0.5*Assumptions!$B$32)</f>
        <v>0.7580245864256012</v>
      </c>
      <c r="F14" s="21">
        <f>1/(1+Assumptions!$B$26)^(5-0.5*Assumptions!$B$32)</f>
        <v>0.700337029712792</v>
      </c>
    </row>
    <row r="15" spans="1:6" x14ac:dyDescent="0.25">
      <c r="A15" s="19" t="s">
        <v>51</v>
      </c>
      <c r="B15" s="20">
        <f>B13*B14</f>
        <v>2425317903.5002294</v>
      </c>
      <c r="C15" s="20">
        <f>C13*C14</f>
        <v>2961229932.0321593</v>
      </c>
      <c r="D15" s="20">
        <f>D13*D14</f>
        <v>3615560128.3064356</v>
      </c>
      <c r="E15" s="20">
        <f>E13*E14</f>
        <v>4414474843.710747</v>
      </c>
      <c r="F15" s="20">
        <f>F13*F14</f>
        <v>5389922295.354883</v>
      </c>
    </row>
    <row r="17" spans="1:2" x14ac:dyDescent="0.25">
      <c r="A17" s="22" t="s">
        <v>52</v>
      </c>
      <c r="B17" s="23">
        <f>SUM(B15:F15)</f>
        <v>18806505102.904457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7696183504.055595</v>
      </c>
    </row>
    <row r="5" spans="1:2" x14ac:dyDescent="0.25">
      <c r="A5" t="s">
        <v>56</v>
      </c>
      <c r="B5" s="18">
        <f>IF(Assumptions!$B$33=0,B4,B4-Forecast!F11-Forecast!F10-Forecast!F12)</f>
        <v>11184008906.132187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0.28912619785900256</v>
      </c>
    </row>
    <row r="7" spans="1:2" x14ac:dyDescent="0.25">
      <c r="A7" t="s">
        <v>58</v>
      </c>
      <c r="B7" s="18">
        <f>-MAX(Forecast!F9,0)*B6</f>
        <v>-3233589971.8512216</v>
      </c>
    </row>
    <row r="8" spans="1:2" x14ac:dyDescent="0.25">
      <c r="A8" t="s">
        <v>59</v>
      </c>
      <c r="B8" s="18">
        <f>IF(OR(Assumptions!$B$33=0,Assumptions!B12&lt;=0),B5,MAX(B5+B7,0))</f>
        <v>7950418934.280966</v>
      </c>
    </row>
    <row r="9" spans="1:2" x14ac:dyDescent="0.25">
      <c r="A9" t="s">
        <v>60</v>
      </c>
      <c r="B9" s="18">
        <f>B8*(1+Assumptions!B12)/(Assumptions!B26-Assumptions!B12)</f>
        <v>142043194144.85657</v>
      </c>
    </row>
    <row r="10" spans="1:2" x14ac:dyDescent="0.25">
      <c r="A10" t="s">
        <v>61</v>
      </c>
      <c r="B10" s="18">
        <f>B9/(1+Assumptions!B26)^(5-0.5*Assumptions!B32)</f>
        <v>99478108678.3263</v>
      </c>
    </row>
    <row r="11" spans="1:2" x14ac:dyDescent="0.25">
      <c r="A11" t="s">
        <v>62</v>
      </c>
      <c r="B11" s="18">
        <f>Forecast!B17+B10</f>
        <v>118284613781.23074</v>
      </c>
    </row>
    <row r="12" spans="1:2" x14ac:dyDescent="0.25">
      <c r="A12" t="s">
        <v>63</v>
      </c>
      <c r="B12" s="18">
        <f>-Assumptions!B30</f>
        <v>-12881000000</v>
      </c>
    </row>
    <row r="13" spans="1:2" x14ac:dyDescent="0.25">
      <c r="A13" t="s">
        <v>64</v>
      </c>
      <c r="B13" s="18">
        <f>B11+B12</f>
        <v>105403613781.23074</v>
      </c>
    </row>
    <row r="14" spans="1:2" x14ac:dyDescent="0.25">
      <c r="A14" s="19" t="s">
        <v>65</v>
      </c>
      <c r="B14" s="24">
        <f>B13/Assumptions!B31</f>
        <v>201.80259942403444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20426984909.00002</v>
      </c>
    </row>
    <row r="18" spans="1:2" x14ac:dyDescent="0.25">
      <c r="A18" t="s">
        <v>60</v>
      </c>
      <c r="B18" s="18">
        <f>B17*Assumptions!B13</f>
        <v>154606265457.39667</v>
      </c>
    </row>
    <row r="19" spans="1:2" x14ac:dyDescent="0.25">
      <c r="A19" t="s">
        <v>61</v>
      </c>
      <c r="B19" s="18">
        <f>B18/(1+Assumptions!B26)^(5-0.5*Assumptions!B32)</f>
        <v>108276492725.42061</v>
      </c>
    </row>
    <row r="20" spans="1:2" x14ac:dyDescent="0.25">
      <c r="A20" t="s">
        <v>62</v>
      </c>
      <c r="B20" s="18">
        <f>Forecast!B17+B19</f>
        <v>127082997828.32507</v>
      </c>
    </row>
    <row r="21" spans="1:2" x14ac:dyDescent="0.25">
      <c r="A21" t="s">
        <v>63</v>
      </c>
      <c r="B21" s="18">
        <f>-Assumptions!B30</f>
        <v>-12881000000</v>
      </c>
    </row>
    <row r="22" spans="1:2" x14ac:dyDescent="0.25">
      <c r="A22" t="s">
        <v>64</v>
      </c>
      <c r="B22" s="18">
        <f>B20+B21</f>
        <v>114201997828.32507</v>
      </c>
    </row>
    <row r="23" spans="1:2" x14ac:dyDescent="0.25">
      <c r="A23" s="19" t="s">
        <v>65</v>
      </c>
      <c r="B23" s="25">
        <f>B22/Assumptions!B31</f>
        <v>218.6477217850171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44.33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201.80259942403444</v>
      </c>
    </row>
    <row r="29" spans="1:2" x14ac:dyDescent="0.25">
      <c r="A29" s="19" t="s">
        <v>73</v>
      </c>
      <c r="B29" s="12">
        <f>B28/B26-1</f>
        <v>3.5522806096105226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0.062371</v>
      </c>
      <c r="B5" s="31">
        <v>302.1782674558436</v>
      </c>
      <c r="C5" s="31">
        <v>315.14926786205143</v>
      </c>
      <c r="D5" s="31">
        <v>331.3387884690801</v>
      </c>
      <c r="E5" s="31">
        <v>352.23821981204827</v>
      </c>
      <c r="F5" s="31">
        <v>380.4287120513109</v>
      </c>
    </row>
    <row r="6" spans="1:6" x14ac:dyDescent="0.25">
      <c r="A6" s="30">
        <v>0.072371</v>
      </c>
      <c r="B6" s="31">
        <v>240.96396028405738</v>
      </c>
      <c r="C6" s="31">
        <v>246.416974920458</v>
      </c>
      <c r="D6" s="31">
        <v>252.8302562465173</v>
      </c>
      <c r="E6" s="31">
        <v>260.5437537641327</v>
      </c>
      <c r="F6" s="31">
        <v>270.0793492231458</v>
      </c>
    </row>
    <row r="7" spans="1:6" x14ac:dyDescent="0.25">
      <c r="A7" s="30">
        <v>0.082371</v>
      </c>
      <c r="B7" s="31">
        <v>198.07939215694012</v>
      </c>
      <c r="C7" s="31">
        <v>199.8615380182076</v>
      </c>
      <c r="D7" s="32">
        <v>201.80317164241796</v>
      </c>
      <c r="E7" s="31">
        <v>203.94997320455644</v>
      </c>
      <c r="F7" s="31">
        <v>206.3669090145789</v>
      </c>
    </row>
    <row r="8" spans="1:6" x14ac:dyDescent="0.25">
      <c r="A8" s="30">
        <v>0.092371</v>
      </c>
      <c r="B8" s="31">
        <v>168.50300058635653</v>
      </c>
      <c r="C8" s="31">
        <v>169.28182111257524</v>
      </c>
      <c r="D8" s="31">
        <v>170.06064163879395</v>
      </c>
      <c r="E8" s="31">
        <v>170.83946216501263</v>
      </c>
      <c r="F8" s="31">
        <v>171.61828269123131</v>
      </c>
    </row>
    <row r="9" spans="1:6" x14ac:dyDescent="0.25">
      <c r="A9" s="30">
        <v>0.102371</v>
      </c>
      <c r="B9" s="31">
        <v>146.42344799893482</v>
      </c>
      <c r="C9" s="31">
        <v>147.0979555393928</v>
      </c>
      <c r="D9" s="31">
        <v>147.77246307985084</v>
      </c>
      <c r="E9" s="31">
        <v>148.44697062030883</v>
      </c>
      <c r="F9" s="31">
        <v>149.12147816076683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31179000000</v>
      </c>
      <c r="C5" s="18">
        <v>21109000000</v>
      </c>
      <c r="D5" s="18">
        <v>12093000000</v>
      </c>
      <c r="E5" s="18">
        <v>13509000000</v>
      </c>
      <c r="F5" s="8" t="s">
        <v>84</v>
      </c>
    </row>
    <row r="6" spans="1:6" x14ac:dyDescent="0.25">
      <c r="A6" t="s">
        <v>44</v>
      </c>
      <c r="B6" s="18">
        <v>2224000000</v>
      </c>
      <c r="C6" s="18">
        <v>1458000000</v>
      </c>
      <c r="D6" s="18">
        <v>1482000000</v>
      </c>
      <c r="E6" s="18">
        <v>1729000000</v>
      </c>
      <c r="F6" s="8" t="s">
        <v>85</v>
      </c>
    </row>
    <row r="7" spans="1:6" x14ac:dyDescent="0.25">
      <c r="A7" t="s">
        <v>86</v>
      </c>
      <c r="B7" s="18">
        <v>2550000000</v>
      </c>
      <c r="C7" s="18">
        <v>1464000000</v>
      </c>
      <c r="D7" s="18">
        <v>701928922.787818</v>
      </c>
      <c r="E7" s="18">
        <v>675610462.310588</v>
      </c>
      <c r="F7" s="8" t="s">
        <v>87</v>
      </c>
    </row>
    <row r="8" spans="1:6" x14ac:dyDescent="0.25">
      <c r="A8" t="s">
        <v>88</v>
      </c>
      <c r="B8" s="18">
        <v>2192000000</v>
      </c>
      <c r="C8" s="18">
        <v>1466000000</v>
      </c>
      <c r="D8" s="18">
        <v>929000000</v>
      </c>
      <c r="E8" s="18">
        <v>930000000</v>
      </c>
      <c r="F8" s="8" t="s">
        <v>89</v>
      </c>
    </row>
    <row r="9" spans="1:6" x14ac:dyDescent="0.25">
      <c r="A9" t="s">
        <v>90</v>
      </c>
      <c r="B9" s="18">
        <v>-71000000</v>
      </c>
      <c r="C9" s="18">
        <v>349000000</v>
      </c>
      <c r="D9" s="18">
        <v>-159000000</v>
      </c>
      <c r="E9" s="18">
        <v>317000000</v>
      </c>
      <c r="F9" s="8" t="s">
        <v>91</v>
      </c>
    </row>
    <row r="10" spans="1:6" x14ac:dyDescent="0.25">
      <c r="A10" t="s">
        <v>92</v>
      </c>
      <c r="B10" s="18">
        <v>13773000000</v>
      </c>
      <c r="C10" s="18">
        <v>13595000000</v>
      </c>
      <c r="D10" s="18">
        <v>3747000000</v>
      </c>
      <c r="E10" s="18">
        <v>4053662773.863527</v>
      </c>
      <c r="F10" s="8" t="s">
        <v>93</v>
      </c>
    </row>
    <row r="11" spans="1:6" x14ac:dyDescent="0.25">
      <c r="A11" t="s">
        <v>94</v>
      </c>
      <c r="B11" s="18">
        <v>892000000</v>
      </c>
      <c r="C11" s="18">
        <v>855000000</v>
      </c>
      <c r="D11" s="18">
        <v>1000000000</v>
      </c>
      <c r="E11" s="18">
        <v>833252903.516392</v>
      </c>
      <c r="F11" s="8" t="s">
        <v>95</v>
      </c>
    </row>
    <row r="12" spans="1:6" x14ac:dyDescent="0.25">
      <c r="A12" t="s">
        <v>32</v>
      </c>
      <c r="B12" s="34">
        <v>522310486</v>
      </c>
      <c r="C12" s="34">
        <v>389024390</v>
      </c>
      <c r="D12" s="34">
        <v>260000000</v>
      </c>
      <c r="E12" s="34">
        <v>261000000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2026-09-19T00:06:05Z</dcterms:modified>
</cp:coreProperties>
</file>