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<sst xmlns="http://schemas.openxmlformats.org/spreadsheetml/2006/main" count="115" uniqueCount="103">
  <si>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Swedbank AB (publ) (SWED-A.ST)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</si>
  <si>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</si>
  <si>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</si>
  <si>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</si>
  <si>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</si>
  <si>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</si>
  <si>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</si>
  <si>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</si>
  <si>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</si>
  <si>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</si>
  <si>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</si>
  <si>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</si>
  <si>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</si>
  <si>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</si>
  <si>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</si>
  <si>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</si>
  <si>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</si>
  <si>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</si>
  <si>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</si>
  <si>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</si>
  <si>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</si>
  <si>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</si>
  <si>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</si>
  <si>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</si>
  <si>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</si>
  <si>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</si>
  <si>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</si>
  <si>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</si>
  <si>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</si>
  <si>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</si>
  <si>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</si>
  <si>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</si>
  <si>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</si>
  <si>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</si>
  <si>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</si>
  <si>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</si>
  <si>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</si>
  <si>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</si>
  <si>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</si>
  <si>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</si>
  <si>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</si>
  <si>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</si>
  <si>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</si>
  <si>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</si>
  <si>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</si>
  <si>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</si>
  <si>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</si>
  <si>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</si>
  <si>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</si>
  <si>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</si>
  <si>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</si>
  <si>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</si>
  <si>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</si>
  <si>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</si>
  <si>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</si>
  <si>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</si>
  <si>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</si>
  <si>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</si>
  <si>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</si>
  <si>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</si>
  <si>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</si>
  <si>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</si>
  <si>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</si>
  <si>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</si>
  <si>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</si>
  <si>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</si>
  <si>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</si>
  <si>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</si>
  <si>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</si>
  <si>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</si>
  <si>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</si>
  <si>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</si>
  <si>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</si>
  <si>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</si>
  <si>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</si>
  <si>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</si>
  <si>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</si>
  <si>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</si>
  <si>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</si>
  <si>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</si>
  <si>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</si>
  <si>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</si>
  <si>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</si>
  <si>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</si>
  <si>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</si>
  <si>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</si>
  <si>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</si>
  <si>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</si>
  <si>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</si>
  <si>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</si>
  <si>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</si>
  <si>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</si>
  <si>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</si>
  <si>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</si>
  <si>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</si>
  <si>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</si>
  <si>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</si>
  <si>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</si>
  <si>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</si>
  <si>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0.79% of revenue, which is too low to be the company's real investment - property trusts and similar structures invest through lines that are not reported as capex. Capex has been set to 1.97% of revenue so the forecast is not handed free growth. Override it if the reported figure is right.</t>
  </si>
  <si>
    <t>Note: Risk-free rate is an assumption: USD assumption - no free live source available for this market.</t>
  </si>
  <si>
    <t>Current EV/EBITDA of 25.3x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</si>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</sst>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0.09802707460571702</v>
      </c>
    </row>
    <row r="7" spans="1:2" x14ac:dyDescent="0.25">
      <c r="A7" t="s">
        <v>5</v>
      </c>
      <c r="B7" s="6">
        <v>0.5839234159320885</v>
      </c>
    </row>
    <row r="8" spans="1:2" x14ac:dyDescent="0.25">
      <c r="A8" t="s">
        <v>6</v>
      </c>
      <c r="B8" s="6">
        <v>0.20843021920996582</v>
      </c>
    </row>
    <row r="9" spans="1:2" x14ac:dyDescent="0.25">
      <c r="A9" t="s">
        <v>7</v>
      </c>
      <c r="B9" s="6">
        <v>0.03897329730895941</v>
      </c>
    </row>
    <row r="10" spans="1:2" x14ac:dyDescent="0.25">
      <c r="A10" t="s">
        <v>8</v>
      </c>
      <c r="B10" s="6">
        <v>0.019717437748560836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0.05588331935663639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0.70587</v>
      </c>
      <c r="C19" s="8" t="s">
        <v>19</v>
      </c>
    </row>
    <row r="20" spans="1:2" x14ac:dyDescent="0.25">
      <c r="A20" t="s">
        <v>20</v>
      </c>
      <c r="B20" s="10">
        <f>B17+B19*B18</f>
        <v>0.08788155</v>
      </c>
    </row>
    <row r="21" spans="1:3" x14ac:dyDescent="0.25">
      <c r="A21" t="s">
        <v>21</v>
      </c>
      <c r="B21" s="6">
        <v>0.05059182457550597</v>
      </c>
      <c r="C21" s="8" t="s">
        <v>22</v>
      </c>
    </row>
    <row r="22" spans="1:2" x14ac:dyDescent="0.25">
      <c r="A22" t="s">
        <v>23</v>
      </c>
      <c r="B22" s="11">
        <v>452182769664</v>
      </c>
    </row>
    <row r="23" spans="1:2" x14ac:dyDescent="0.25">
      <c r="A23" t="s">
        <v>24</v>
      </c>
      <c r="B23" s="11">
        <v>913660000000</v>
      </c>
    </row>
    <row r="24" spans="1:2" x14ac:dyDescent="0.25">
      <c r="A24" t="s">
        <v>25</v>
      </c>
      <c r="B24" s="10">
        <f>B22/(B22+B23)</f>
        <v>0.331065024252563</v>
      </c>
    </row>
    <row r="25" spans="1:2" x14ac:dyDescent="0.25">
      <c r="A25" t="s">
        <v>26</v>
      </c>
      <c r="B25" s="10">
        <f>1-B24</f>
        <v>0.668934975747437</v>
      </c>
    </row>
    <row r="26" spans="1:2" x14ac:dyDescent="0.25">
      <c r="A26" t="s">
        <v>27</v>
      </c>
      <c r="B26" s="12">
        <f>B24*B20+B25*B21*(1-B8)</f>
        <v>0.05588331935663639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67899000000</v>
      </c>
      <c r="C29" s="8" t="s">
        <v>30</v>
      </c>
    </row>
    <row r="30" spans="1:2" x14ac:dyDescent="0.25">
      <c r="A30" t="s">
        <v>31</v>
      </c>
      <c r="B30" s="11">
        <v>650032000000</v>
      </c>
    </row>
    <row r="31" spans="1:2" x14ac:dyDescent="0.25">
      <c r="A31" t="s">
        <v>32</v>
      </c>
      <c r="B31" s="13">
        <v>1130330121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0.09802707460571702</v>
      </c>
      <c r="C5" s="10">
        <f>Assumptions!B6</f>
        <v>0.09802707460571702</v>
      </c>
      <c r="D5" s="10">
        <f>Assumptions!B6</f>
        <v>0.09802707460571702</v>
      </c>
      <c r="E5" s="10">
        <f>Assumptions!B6</f>
        <v>0.09802707460571702</v>
      </c>
      <c r="F5" s="10">
        <f>Assumptions!B6</f>
        <v>0.09802707460571702</v>
      </c>
    </row>
    <row r="6" spans="1:6" x14ac:dyDescent="0.25">
      <c r="A6" t="s">
        <v>43</v>
      </c>
      <c r="B6" s="18">
        <f>Assumptions!B29*(1+B5)</f>
        <v>74554940338.65358</v>
      </c>
      <c r="C6" s="18">
        <f>B6*(1+C5)</f>
        <v>81863343037.45555</v>
      </c>
      <c r="D6" s="18">
        <f>C6*(1+D5)</f>
        <v>89888167072.86162</v>
      </c>
      <c r="E6" s="18">
        <f>D6*(1+E5)</f>
        <v>98699641132.68417</v>
      </c>
      <c r="F6" s="18">
        <f>E6*(1+F5)</f>
        <v>108374878217.5553</v>
      </c>
    </row>
    <row r="7" spans="1:6" x14ac:dyDescent="0.25">
      <c r="A7" t="s">
        <v>5</v>
      </c>
      <c r="B7" s="10">
        <f>Assumptions!B7</f>
        <v>0.5839234159320885</v>
      </c>
      <c r="C7" s="10">
        <f>Assumptions!B7</f>
        <v>0.5839234159320885</v>
      </c>
      <c r="D7" s="10">
        <f>Assumptions!B7</f>
        <v>0.5839234159320885</v>
      </c>
      <c r="E7" s="10">
        <f>Assumptions!B7</f>
        <v>0.5839234159320885</v>
      </c>
      <c r="F7" s="10">
        <f>Assumptions!B7</f>
        <v>0.5839234159320885</v>
      </c>
    </row>
    <row r="8" spans="1:6" x14ac:dyDescent="0.25">
      <c r="A8" t="s">
        <v>44</v>
      </c>
      <c r="B8" s="18">
        <f>B6*B7</f>
        <v>43534375437.15966</v>
      </c>
      <c r="C8" s="18">
        <f>C6*C7</f>
        <v>47801922906.0514</v>
      </c>
      <c r="D8" s="18">
        <f>D6*D7</f>
        <v>52487805569.05964</v>
      </c>
      <c r="E8" s="18">
        <f>E6*E7</f>
        <v>57633031601.468216</v>
      </c>
      <c r="F8" s="18">
        <f>F6*F7</f>
        <v>63282629090.01898</v>
      </c>
    </row>
    <row r="9" spans="1:6" x14ac:dyDescent="0.25">
      <c r="A9" t="s">
        <v>45</v>
      </c>
      <c r="B9" s="18">
        <f>B8*(1-Assumptions!B8)</f>
        <v>34460496021.62352</v>
      </c>
      <c r="C9" s="18">
        <f>C8*(1-Assumptions!B8)</f>
        <v>37838557636.08522</v>
      </c>
      <c r="D9" s="18">
        <f>D8*(1-Assumptions!B8)</f>
        <v>41547760748.45047</v>
      </c>
      <c r="E9" s="18">
        <f>E8*(1-Assumptions!B8)</f>
        <v>45620566191.03931</v>
      </c>
      <c r="F9" s="18">
        <f>F8*(1-Assumptions!B8)</f>
        <v>50092616836.60336</v>
      </c>
    </row>
    <row r="10" spans="1:6" x14ac:dyDescent="0.25">
      <c r="A10" t="s">
        <v>46</v>
      </c>
      <c r="B10" s="18">
        <f>B6*Assumptions!B9</f>
        <v>2905651855.670077</v>
      </c>
      <c r="C10" s="18">
        <f>C6*Assumptions!B9</f>
        <v>3190484406.9040875</v>
      </c>
      <c r="D10" s="18">
        <f>D6*Assumptions!B9</f>
        <v>3503238259.8880515</v>
      </c>
      <c r="E10" s="18">
        <f>E6*Assumptions!B9</f>
        <v>3846650458.1516995</v>
      </c>
      <c r="F10" s="18">
        <f>F6*Assumptions!B9</f>
        <v>4223726349.595052</v>
      </c>
    </row>
    <row r="11" spans="1:6" x14ac:dyDescent="0.25">
      <c r="A11" t="s">
        <v>47</v>
      </c>
      <c r="B11" s="18">
        <f>-B6*Assumptions!B10</f>
        <v>-1470032394.975069</v>
      </c>
      <c r="C11" s="18">
        <f>-C6*Assumptions!B10</f>
        <v>-1614135370.230111</v>
      </c>
      <c r="D11" s="18">
        <f>-D6*Assumptions!B10</f>
        <v>-1772364338.591385</v>
      </c>
      <c r="E11" s="18">
        <f>-E6*Assumptions!B10</f>
        <v>-1946104029.8389947</v>
      </c>
      <c r="F11" s="18">
        <f>-F6*Assumptions!B10</f>
        <v>-2136874914.7625084</v>
      </c>
    </row>
    <row r="12" spans="1:6" x14ac:dyDescent="0.25">
      <c r="A12" t="s">
        <v>48</v>
      </c>
      <c r="B12" s="18">
        <f>-(B6-Assumptions!B29)*Assumptions!B11</f>
        <v>6655940338.65358</v>
      </c>
      <c r="C12" s="18">
        <f>-(C6-B6)*Assumptions!B11</f>
        <v>7308402698.801971</v>
      </c>
      <c r="D12" s="18">
        <f>-(D6-C6)*Assumptions!B11</f>
        <v>8024824035.406067</v>
      </c>
      <c r="E12" s="18">
        <f>-(E6-D6)*Assumptions!B11</f>
        <v>8811474059.822556</v>
      </c>
      <c r="F12" s="18">
        <f>-(F6-E6)*Assumptions!B11</f>
        <v>9675237084.871124</v>
      </c>
    </row>
    <row r="13" spans="1:6" x14ac:dyDescent="0.25">
      <c r="A13" s="19" t="s">
        <v>49</v>
      </c>
      <c r="B13" s="20">
        <f>B9+B10+B11+B12</f>
        <v>42552055820.97211</v>
      </c>
      <c r="C13" s="20">
        <f>C9+C10+C11+C12</f>
        <v>46723309371.56117</v>
      </c>
      <c r="D13" s="20">
        <f>D9+D10+D11+D12</f>
        <v>51303458705.153206</v>
      </c>
      <c r="E13" s="20">
        <f>E9+E10+E11+E12</f>
        <v>56332586679.17457</v>
      </c>
      <c r="F13" s="20">
        <f>F9+F10+F11+F12</f>
        <v>61854705356.30704</v>
      </c>
    </row>
    <row r="14" spans="1:6" x14ac:dyDescent="0.25">
      <c r="A14" t="s">
        <v>50</v>
      </c>
      <c r="B14" s="21">
        <f>1/(1+Assumptions!$B$26)^(1-0.5*Assumptions!$B$32)</f>
        <v>0.9731774463512257</v>
      </c>
      <c r="C14" s="21">
        <f>1/(1+Assumptions!$B$26)^(2-0.5*Assumptions!$B$32)</f>
        <v>0.9216713897366952</v>
      </c>
      <c r="D14" s="21">
        <f>1/(1+Assumptions!$B$26)^(3-0.5*Assumptions!$B$32)</f>
        <v>0.8728913250550087</v>
      </c>
      <c r="E14" s="21">
        <f>1/(1+Assumptions!$B$26)^(4-0.5*Assumptions!$B$32)</f>
        <v>0.826692977389654</v>
      </c>
      <c r="F14" s="21">
        <f>1/(1+Assumptions!$B$26)^(5-0.5*Assumptions!$B$32)</f>
        <v>0.7829397076689961</v>
      </c>
    </row>
    <row r="15" spans="1:6" x14ac:dyDescent="0.25">
      <c r="A15" s="19" t="s">
        <v>51</v>
      </c>
      <c r="B15" s="20">
        <f>B13*B14</f>
        <v>41410701020.84844</v>
      </c>
      <c r="C15" s="20">
        <f>C13*C14</f>
        <v>43063537481.584335</v>
      </c>
      <c r="D15" s="20">
        <f>D13*D14</f>
        <v>44782344049.046104</v>
      </c>
      <c r="E15" s="20">
        <f>E13*E14</f>
        <v>46569753805.867584</v>
      </c>
      <c r="F15" s="20">
        <f>F13*F14</f>
        <v>48428504929.61892</v>
      </c>
    </row>
    <row r="17" spans="1:2" x14ac:dyDescent="0.25">
      <c r="A17" s="22" t="s">
        <v>52</v>
      </c>
      <c r="B17" s="23">
        <f>SUM(B15:F15)</f>
        <v>224254841286.9654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61854705356.30704</v>
      </c>
    </row>
    <row r="5" spans="1:2" x14ac:dyDescent="0.25">
      <c r="A5" t="s">
        <v>56</v>
      </c>
      <c r="B5" s="18">
        <f>IF(Assumptions!$B$33=0,B4,B4-Forecast!F11-Forecast!F10-Forecast!F12)</f>
        <v>51744505369.41513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0.44736068450864386</v>
      </c>
    </row>
    <row r="7" spans="1:2" x14ac:dyDescent="0.25">
      <c r="A7" t="s">
        <v>58</v>
      </c>
      <c r="B7" s="18">
        <f>-MAX(Forecast!F9,0)*B6</f>
        <v>-23148457341.62275</v>
      </c>
    </row>
    <row r="8" spans="1:2" x14ac:dyDescent="0.25">
      <c r="A8" t="s">
        <v>59</v>
      </c>
      <c r="B8" s="18">
        <f>IF(OR(Assumptions!$B$33=0,Assumptions!B12&lt;=0),B5,MAX(B5+B7,0))</f>
        <v>28596048027.79238</v>
      </c>
    </row>
    <row r="9" spans="1:2" x14ac:dyDescent="0.25">
      <c r="A9" t="s">
        <v>60</v>
      </c>
      <c r="B9" s="18">
        <f>B8*(1+Assumptions!B12)/(Assumptions!B26-Assumptions!B12)</f>
        <v>949086751006.5326</v>
      </c>
    </row>
    <row r="10" spans="1:2" x14ac:dyDescent="0.25">
      <c r="A10" t="s">
        <v>61</v>
      </c>
      <c r="B10" s="18">
        <f>B9/(1+Assumptions!B26)^(5-0.5*Assumptions!B32)</f>
        <v>743077703385.5719</v>
      </c>
    </row>
    <row r="11" spans="1:2" x14ac:dyDescent="0.25">
      <c r="A11" t="s">
        <v>62</v>
      </c>
      <c r="B11" s="18">
        <f>Forecast!B17+B10</f>
        <v>967332544672.5374</v>
      </c>
    </row>
    <row r="12" spans="1:2" x14ac:dyDescent="0.25">
      <c r="A12" t="s">
        <v>63</v>
      </c>
      <c r="B12" s="18">
        <f>-Assumptions!B30</f>
        <v>-650032000000</v>
      </c>
    </row>
    <row r="13" spans="1:2" x14ac:dyDescent="0.25">
      <c r="A13" t="s">
        <v>64</v>
      </c>
      <c r="B13" s="18">
        <f>B11+B12</f>
        <v>317300544672.53735</v>
      </c>
    </row>
    <row r="14" spans="1:2" x14ac:dyDescent="0.25">
      <c r="A14" s="19" t="s">
        <v>65</v>
      </c>
      <c r="B14" s="24">
        <f>B13/Assumptions!B31</f>
        <v>280.71493343185654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67506355439.61404</v>
      </c>
    </row>
    <row r="18" spans="1:2" x14ac:dyDescent="0.25">
      <c r="A18" t="s">
        <v>60</v>
      </c>
      <c r="B18" s="18">
        <f>B17*Assumptions!B13</f>
        <v>1350127108792.2808</v>
      </c>
    </row>
    <row r="19" spans="1:2" x14ac:dyDescent="0.25">
      <c r="A19" t="s">
        <v>61</v>
      </c>
      <c r="B19" s="18">
        <f>B18/(1+Assumptions!B26)^(5-0.5*Assumptions!B32)</f>
        <v>1057068123873.8152</v>
      </c>
    </row>
    <row r="20" spans="1:2" x14ac:dyDescent="0.25">
      <c r="A20" t="s">
        <v>62</v>
      </c>
      <c r="B20" s="18">
        <f>Forecast!B17+B19</f>
        <v>1281322965160.7805</v>
      </c>
    </row>
    <row r="21" spans="1:2" x14ac:dyDescent="0.25">
      <c r="A21" t="s">
        <v>63</v>
      </c>
      <c r="B21" s="18">
        <f>-Assumptions!B30</f>
        <v>-650032000000</v>
      </c>
    </row>
    <row r="22" spans="1:2" x14ac:dyDescent="0.25">
      <c r="A22" t="s">
        <v>64</v>
      </c>
      <c r="B22" s="18">
        <f>B20+B21</f>
        <v>631290965160.7805</v>
      </c>
    </row>
    <row r="23" spans="1:2" x14ac:dyDescent="0.25">
      <c r="A23" s="19" t="s">
        <v>65</v>
      </c>
      <c r="B23" s="25">
        <f>B22/Assumptions!B31</f>
        <v>558.5014089532349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402.4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280.71493343185654</v>
      </c>
    </row>
    <row r="29" spans="1:2" x14ac:dyDescent="0.25">
      <c r="A29" s="19" t="s">
        <v>73</v>
      </c>
      <c r="B29" s="12">
        <f>B28/B26-1</f>
        <v>-0.3023982767597998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0.035883</v>
      </c>
      <c r="B5" s="31">
        <v>738.3575868202237</v>
      </c>
      <c r="C5" s="31">
        <v>743.8006330360957</v>
      </c>
      <c r="D5" s="31">
        <v>749.2436792519675</v>
      </c>
      <c r="E5" s="31">
        <v>754.6867254678392</v>
      </c>
      <c r="F5" s="31">
        <v>4212.100435391776</v>
      </c>
    </row>
    <row r="6" spans="1:6" x14ac:dyDescent="0.25">
      <c r="A6" s="30">
        <v>0.045883</v>
      </c>
      <c r="B6" s="31">
        <v>455.8217889127953</v>
      </c>
      <c r="C6" s="31">
        <v>459.8984364994311</v>
      </c>
      <c r="D6" s="31">
        <v>463.9750840860668</v>
      </c>
      <c r="E6" s="31">
        <v>468.0517316727026</v>
      </c>
      <c r="F6" s="31">
        <v>472.12837925933826</v>
      </c>
    </row>
    <row r="7" spans="1:6" x14ac:dyDescent="0.25">
      <c r="A7" s="30">
        <v>0.055883</v>
      </c>
      <c r="B7" s="31">
        <v>274.3060472171895</v>
      </c>
      <c r="C7" s="31">
        <v>277.51289348764925</v>
      </c>
      <c r="D7" s="32">
        <v>280.71973975810874</v>
      </c>
      <c r="E7" s="31">
        <v>283.92658602856847</v>
      </c>
      <c r="F7" s="31">
        <v>287.13343229902796</v>
      </c>
    </row>
    <row r="8" spans="1:6" x14ac:dyDescent="0.25">
      <c r="A8" s="30">
        <v>0.065883</v>
      </c>
      <c r="B8" s="31">
        <v>147.81729198574203</v>
      </c>
      <c r="C8" s="31">
        <v>150.4244218621661</v>
      </c>
      <c r="D8" s="31">
        <v>153.03155173858988</v>
      </c>
      <c r="E8" s="31">
        <v>155.63868161501395</v>
      </c>
      <c r="F8" s="31">
        <v>158.24581149143793</v>
      </c>
    </row>
    <row r="9" spans="1:6" x14ac:dyDescent="0.25">
      <c r="A9" s="30">
        <v>0.075883</v>
      </c>
      <c r="B9" s="31">
        <v>54.60618015747657</v>
      </c>
      <c r="C9" s="31">
        <v>56.77658998562591</v>
      </c>
      <c r="D9" s="31">
        <v>58.94699981377525</v>
      </c>
      <c r="E9" s="31">
        <v>61.117409641924475</v>
      </c>
      <c r="F9" s="31">
        <v>63.2878194700736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67899000000</v>
      </c>
      <c r="C5" s="18">
        <v>73332000000</v>
      </c>
      <c r="D5" s="18">
        <v>72254000000</v>
      </c>
      <c r="E5" s="18">
        <v>51289000000</v>
      </c>
      <c r="F5" s="8" t="s">
        <v>84</v>
      </c>
    </row>
    <row r="6" spans="1:6" x14ac:dyDescent="0.25">
      <c r="A6" t="s">
        <v>44</v>
      </c>
      <c r="B6" s="18">
        <v>41255000000</v>
      </c>
      <c r="C6" s="18">
        <v>44187000000</v>
      </c>
      <c r="D6" s="18">
        <v>43622000000</v>
      </c>
      <c r="E6" s="18">
        <v>26763000000</v>
      </c>
      <c r="F6" s="8" t="s">
        <v>85</v>
      </c>
    </row>
    <row r="7" spans="1:6" x14ac:dyDescent="0.25">
      <c r="A7" t="s">
        <v>86</v>
      </c>
      <c r="B7" s="18">
        <v>2225000000</v>
      </c>
      <c r="C7" s="18">
        <v>2960000000</v>
      </c>
      <c r="D7" s="18">
        <v>2007000000</v>
      </c>
      <c r="E7" s="18">
        <v>2820000000</v>
      </c>
      <c r="F7" s="8" t="s">
        <v>87</v>
      </c>
    </row>
    <row r="8" spans="1:6" x14ac:dyDescent="0.25">
      <c r="A8" t="s">
        <v>88</v>
      </c>
      <c r="B8" s="18">
        <v>490000000</v>
      </c>
      <c r="C8" s="18">
        <v>407000000</v>
      </c>
      <c r="D8" s="18">
        <v>852000000</v>
      </c>
      <c r="E8" s="18">
        <v>363000000</v>
      </c>
      <c r="F8" s="8" t="s">
        <v>89</v>
      </c>
    </row>
    <row r="9" spans="1:6" x14ac:dyDescent="0.25">
      <c r="A9" t="s">
        <v>90</v>
      </c>
      <c r="B9" s="18">
        <v>77258000000</v>
      </c>
      <c r="C9" s="18">
        <v>-49321000000</v>
      </c>
      <c r="D9" s="18">
        <v>181375000000</v>
      </c>
      <c r="E9" s="18">
        <v>44241000000</v>
      </c>
      <c r="F9" s="8" t="s">
        <v>91</v>
      </c>
    </row>
    <row r="10" spans="1:6" x14ac:dyDescent="0.25">
      <c r="A10" t="s">
        <v>92</v>
      </c>
      <c r="B10" s="18">
        <v>913660000000</v>
      </c>
      <c r="C10" s="18">
        <v>922526000000</v>
      </c>
      <c r="D10" s="18">
        <v>873363000000</v>
      </c>
      <c r="E10" s="18">
        <v>881361000000</v>
      </c>
      <c r="F10" s="8" t="s">
        <v>93</v>
      </c>
    </row>
    <row r="11" spans="1:6" x14ac:dyDescent="0.25">
      <c r="A11" t="s">
        <v>94</v>
      </c>
      <c r="B11" s="18">
        <v>263628000000</v>
      </c>
      <c r="C11" s="18">
        <v>325604000000</v>
      </c>
      <c r="D11" s="18">
        <v>252994000000</v>
      </c>
      <c r="E11" s="18">
        <v>365992000000</v>
      </c>
      <c r="F11" s="8" t="s">
        <v>95</v>
      </c>
    </row>
    <row r="12" spans="1:6" x14ac:dyDescent="0.25">
      <c r="A12" t="s">
        <v>32</v>
      </c>
      <c r="B12" s="34">
        <v>1130330121</v>
      </c>
      <c r="C12" s="34">
        <v>1129775275</v>
      </c>
      <c r="D12" s="34">
        <v>1127392130</v>
      </c>
      <c r="E12" s="34">
        <v>1125880850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