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<sst xmlns="http://schemas.openxmlformats.org/spreadsheetml/2006/main" count="111" uniqueCount="99">
  <si>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Stanley Black &amp; Decker, Inc. (SWK)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</si>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</sst>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-0.037097214175564996</v>
      </c>
    </row>
    <row r="7" spans="1:2" x14ac:dyDescent="0.25">
      <c r="A7" t="s">
        <v>5</v>
      </c>
      <c r="B7" s="6">
        <v>0.0636224499555001</v>
      </c>
    </row>
    <row r="8" spans="1:2" x14ac:dyDescent="0.25">
      <c r="A8" t="s">
        <v>6</v>
      </c>
      <c r="B8" s="6">
        <v>0.0382866714525006</v>
      </c>
    </row>
    <row r="9" spans="1:2" x14ac:dyDescent="0.25">
      <c r="A9" t="s">
        <v>7</v>
      </c>
      <c r="B9" s="6">
        <v>0.03640105727644939</v>
      </c>
    </row>
    <row r="10" spans="1:2" x14ac:dyDescent="0.25">
      <c r="A10" t="s">
        <v>8</v>
      </c>
      <c r="B10" s="6">
        <v>0.023628732386866</v>
      </c>
    </row>
    <row r="11" spans="1:2" x14ac:dyDescent="0.25">
      <c r="A11" t="s">
        <v>9</v>
      </c>
      <c r="B11" s="6">
        <v>0.1791044776119403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10.886283045593393</v>
      </c>
    </row>
    <row r="14" spans="1:3" x14ac:dyDescent="0.25">
      <c r="A14" t="s">
        <v>12</v>
      </c>
      <c r="B14" s="6">
        <v>0.10210040597326976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1.11591</v>
      </c>
      <c r="C19" s="8" t="s">
        <v>19</v>
      </c>
    </row>
    <row r="20" spans="1:2" x14ac:dyDescent="0.25">
      <c r="A20" t="s">
        <v>20</v>
      </c>
      <c r="B20" s="10">
        <f>B17+B19*B18</f>
        <v>0.11135505000000001</v>
      </c>
    </row>
    <row r="21" spans="1:3" x14ac:dyDescent="0.25">
      <c r="A21" t="s">
        <v>21</v>
      </c>
      <c r="B21" s="6">
        <v>0.0844565857488713</v>
      </c>
      <c r="C21" s="8" t="s">
        <v>22</v>
      </c>
    </row>
    <row r="22" spans="1:2" x14ac:dyDescent="0.25">
      <c r="A22" t="s">
        <v>23</v>
      </c>
      <c r="B22" s="11">
        <v>13528071168</v>
      </c>
    </row>
    <row r="23" spans="1:2" x14ac:dyDescent="0.25">
      <c r="A23" t="s">
        <v>24</v>
      </c>
      <c r="B23" s="11">
        <v>5996800000</v>
      </c>
    </row>
    <row r="24" spans="1:2" x14ac:dyDescent="0.25">
      <c r="A24" t="s">
        <v>25</v>
      </c>
      <c r="B24" s="10">
        <f>B22/(B22+B23)</f>
        <v>0.6928635303966375</v>
      </c>
    </row>
    <row r="25" spans="1:2" x14ac:dyDescent="0.25">
      <c r="A25" t="s">
        <v>26</v>
      </c>
      <c r="B25" s="10">
        <f>1-B24</f>
        <v>0.3071364696033625</v>
      </c>
    </row>
    <row r="26" spans="1:2" x14ac:dyDescent="0.25">
      <c r="A26" t="s">
        <v>27</v>
      </c>
      <c r="B26" s="12">
        <f>B24*B20+B25*B21*(1-B8)</f>
        <v>0.10210040597326976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15130400000</v>
      </c>
      <c r="C29" s="8" t="s">
        <v>30</v>
      </c>
    </row>
    <row r="30" spans="1:2" x14ac:dyDescent="0.25">
      <c r="A30" t="s">
        <v>31</v>
      </c>
      <c r="B30" s="11">
        <v>5716700000</v>
      </c>
    </row>
    <row r="31" spans="1:2" x14ac:dyDescent="0.25">
      <c r="A31" t="s">
        <v>32</v>
      </c>
      <c r="B31" s="13">
        <v>151878000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-0.037097214175564996</v>
      </c>
      <c r="C5" s="10">
        <f>Assumptions!B6</f>
        <v>-0.037097214175564996</v>
      </c>
      <c r="D5" s="10">
        <f>Assumptions!B6</f>
        <v>-0.037097214175564996</v>
      </c>
      <c r="E5" s="10">
        <f>Assumptions!B6</f>
        <v>-0.037097214175564996</v>
      </c>
      <c r="F5" s="10">
        <f>Assumptions!B6</f>
        <v>-0.037097214175564996</v>
      </c>
    </row>
    <row r="6" spans="1:6" x14ac:dyDescent="0.25">
      <c r="A6" t="s">
        <v>43</v>
      </c>
      <c r="B6" s="18">
        <f>Assumptions!B29*(1+B5)</f>
        <v>14569104310.638031</v>
      </c>
      <c r="C6" s="18">
        <f>B6*(1+C5)</f>
        <v>14028631127.680145</v>
      </c>
      <c r="D6" s="18">
        <f>C6*(1+D5)</f>
        <v>13508207994.146597</v>
      </c>
      <c r="E6" s="18">
        <f>D6*(1+E5)</f>
        <v>13007091109.059662</v>
      </c>
      <c r="F6" s="18">
        <f>E6*(1+F5)</f>
        <v>12524564264.385788</v>
      </c>
    </row>
    <row r="7" spans="1:6" x14ac:dyDescent="0.25">
      <c r="A7" t="s">
        <v>5</v>
      </c>
      <c r="B7" s="10">
        <f>Assumptions!B7</f>
        <v>0.0636224499555001</v>
      </c>
      <c r="C7" s="10">
        <f>Assumptions!B7</f>
        <v>0.0636224499555001</v>
      </c>
      <c r="D7" s="10">
        <f>Assumptions!B7</f>
        <v>0.0636224499555001</v>
      </c>
      <c r="E7" s="10">
        <f>Assumptions!B7</f>
        <v>0.0636224499555001</v>
      </c>
      <c r="F7" s="10">
        <f>Assumptions!B7</f>
        <v>0.0636224499555001</v>
      </c>
    </row>
    <row r="8" spans="1:6" x14ac:dyDescent="0.25">
      <c r="A8" t="s">
        <v>44</v>
      </c>
      <c r="B8" s="18">
        <f>B6*B7</f>
        <v>926922109.9000288</v>
      </c>
      <c r="C8" s="18">
        <f>C6*C7</f>
        <v>892535881.8650008</v>
      </c>
      <c r="D8" s="18">
        <f>D6*D7</f>
        <v>859425287.0960782</v>
      </c>
      <c r="E8" s="18">
        <f>E6*E7</f>
        <v>827543003.1527785</v>
      </c>
      <c r="F8" s="18">
        <f>F6*F7</f>
        <v>796843463.1253296</v>
      </c>
    </row>
    <row r="9" spans="1:6" x14ac:dyDescent="0.25">
      <c r="A9" t="s">
        <v>45</v>
      </c>
      <c r="B9" s="18">
        <f>B8*(1-Assumptions!B8)</f>
        <v>891433347.6162277</v>
      </c>
      <c r="C9" s="18">
        <f>C8*(1-Assumptions!B8)</f>
        <v>858363653.7964677</v>
      </c>
      <c r="D9" s="18">
        <f>D8*(1-Assumptions!B8)</f>
        <v>826520753.4910595</v>
      </c>
      <c r="E9" s="18">
        <f>E8*(1-Assumptions!B8)</f>
        <v>795859136.0782523</v>
      </c>
      <c r="F9" s="18">
        <f>F8*(1-Assumptions!B8)</f>
        <v>766334979.2535774</v>
      </c>
    </row>
    <row r="10" spans="1:6" x14ac:dyDescent="0.25">
      <c r="A10" t="s">
        <v>46</v>
      </c>
      <c r="B10" s="18">
        <f>B6*Assumptions!B9</f>
        <v>530330800.4781007</v>
      </c>
      <c r="C10" s="18">
        <f>C6*Assumptions!B9</f>
        <v>510657005.1888658</v>
      </c>
      <c r="D10" s="18">
        <f>D6*Assumptions!B9</f>
        <v>491713052.89712185</v>
      </c>
      <c r="E10" s="18">
        <f>E6*Assumptions!B9</f>
        <v>473471868.4608764</v>
      </c>
      <c r="F10" s="18">
        <f>F6*Assumptions!B9</f>
        <v>455907381.1504783</v>
      </c>
    </row>
    <row r="11" spans="1:6" x14ac:dyDescent="0.25">
      <c r="A11" t="s">
        <v>47</v>
      </c>
      <c r="B11" s="18">
        <f>-B6*Assumptions!B10</f>
        <v>-344249466.8724019</v>
      </c>
      <c r="C11" s="18">
        <f>-C6*Assumptions!B10</f>
        <v>-331478770.67001235</v>
      </c>
      <c r="D11" s="18">
        <f>-D6*Assumptions!B10</f>
        <v>-319181831.7198139</v>
      </c>
      <c r="E11" s="18">
        <f>-E6*Assumptions!B10</f>
        <v>-307341074.9475548</v>
      </c>
      <c r="F11" s="18">
        <f>-F6*Assumptions!B10</f>
        <v>-295939577.265277</v>
      </c>
    </row>
    <row r="12" spans="1:6" x14ac:dyDescent="0.25">
      <c r="A12" t="s">
        <v>48</v>
      </c>
      <c r="B12" s="18">
        <f>-(B6-Assumptions!B29)*Assumptions!B11</f>
        <v>100530571.22900936</v>
      </c>
      <c r="C12" s="18">
        <f>-(C6-B6)*Assumptions!B11</f>
        <v>96801167.09693475</v>
      </c>
      <c r="D12" s="18">
        <f>-(D6-C6)*Assumptions!B11</f>
        <v>93210113.46869522</v>
      </c>
      <c r="E12" s="18">
        <f>-(E6-D6)*Assumptions!B11</f>
        <v>89752277.92601821</v>
      </c>
      <c r="F12" s="18">
        <f>-(F6-E6)*Assumptions!B11</f>
        <v>86422718.44905204</v>
      </c>
    </row>
    <row r="13" spans="1:6" x14ac:dyDescent="0.25">
      <c r="A13" s="19" t="s">
        <v>49</v>
      </c>
      <c r="B13" s="20">
        <f>B9+B10+B11+B12</f>
        <v>1178045252.4509358</v>
      </c>
      <c r="C13" s="20">
        <f>C9+C10+C11+C12</f>
        <v>1134343055.4122558</v>
      </c>
      <c r="D13" s="20">
        <f>D9+D10+D11+D12</f>
        <v>1092262088.1370628</v>
      </c>
      <c r="E13" s="20">
        <f>E9+E10+E11+E12</f>
        <v>1051742207.5175922</v>
      </c>
      <c r="F13" s="20">
        <f>F9+F10+F11+F12</f>
        <v>1012725501.5878305</v>
      </c>
    </row>
    <row r="14" spans="1:6" x14ac:dyDescent="0.25">
      <c r="A14" t="s">
        <v>50</v>
      </c>
      <c r="B14" s="21">
        <f>1/(1+Assumptions!$B$26)^(1-0.5*Assumptions!$B$32)</f>
        <v>0.9525535914835377</v>
      </c>
      <c r="C14" s="21">
        <f>1/(1+Assumptions!$B$26)^(2-0.5*Assumptions!$B$32)</f>
        <v>0.8643074499571872</v>
      </c>
      <c r="D14" s="21">
        <f>1/(1+Assumptions!$B$26)^(3-0.5*Assumptions!$B$32)</f>
        <v>0.7842365770602484</v>
      </c>
      <c r="E14" s="21">
        <f>1/(1+Assumptions!$B$26)^(4-0.5*Assumptions!$B$32)</f>
        <v>0.7115836023739467</v>
      </c>
      <c r="F14" s="21">
        <f>1/(1+Assumptions!$B$26)^(5-0.5*Assumptions!$B$32)</f>
        <v>0.6456613195288174</v>
      </c>
    </row>
    <row r="15" spans="1:6" x14ac:dyDescent="0.25">
      <c r="A15" s="19" t="s">
        <v>51</v>
      </c>
      <c r="B15" s="20">
        <f>B13*B14</f>
        <v>1122151236.1522698</v>
      </c>
      <c r="C15" s="20">
        <f>C13*C14</f>
        <v>980421153.6000111</v>
      </c>
      <c r="D15" s="20">
        <f>D13*D14</f>
        <v>856591881.2532895</v>
      </c>
      <c r="E15" s="20">
        <f>E13*E14</f>
        <v>748402508.7940953</v>
      </c>
      <c r="F15" s="20">
        <f>F13*F14</f>
        <v>653877683.6756822</v>
      </c>
    </row>
    <row r="17" spans="1:2" x14ac:dyDescent="0.25">
      <c r="A17" s="22" t="s">
        <v>52</v>
      </c>
      <c r="B17" s="23">
        <f>SUM(B15:F15)</f>
        <v>4361444463.4753475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1012725501.5878305</v>
      </c>
    </row>
    <row r="5" spans="1:2" x14ac:dyDescent="0.25">
      <c r="A5" t="s">
        <v>56</v>
      </c>
      <c r="B5" s="18">
        <f>IF(Assumptions!$B$33=0,B4,B4-Forecast!F11-Forecast!F10-Forecast!F12)</f>
        <v>900284634.4232188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0.24485700876199343</v>
      </c>
    </row>
    <row r="7" spans="1:2" x14ac:dyDescent="0.25">
      <c r="A7" t="s">
        <v>58</v>
      </c>
      <c r="B7" s="18">
        <f>-MAX(Forecast!F9,0)*B6</f>
        <v>-220441002.61925414</v>
      </c>
    </row>
    <row r="8" spans="1:2" x14ac:dyDescent="0.25">
      <c r="A8" t="s">
        <v>59</v>
      </c>
      <c r="B8" s="18">
        <f>IF(OR(Assumptions!$B$33=0,Assumptions!B12&lt;=0),B5,MAX(B5+B7,0))</f>
        <v>679843631.8039647</v>
      </c>
    </row>
    <row r="9" spans="1:2" x14ac:dyDescent="0.25">
      <c r="A9" t="s">
        <v>60</v>
      </c>
      <c r="B9" s="18">
        <f>B8*(1+Assumptions!B12)/(Assumptions!B26-Assumptions!B12)</f>
        <v>9038081107.38942</v>
      </c>
    </row>
    <row r="10" spans="1:2" x14ac:dyDescent="0.25">
      <c r="A10" t="s">
        <v>61</v>
      </c>
      <c r="B10" s="18">
        <f>B9/(1+Assumptions!B26)^(5-0.5*Assumptions!B32)</f>
        <v>5835539373.805529</v>
      </c>
    </row>
    <row r="11" spans="1:2" x14ac:dyDescent="0.25">
      <c r="A11" t="s">
        <v>62</v>
      </c>
      <c r="B11" s="18">
        <f>Forecast!B17+B10</f>
        <v>10196983837.280876</v>
      </c>
    </row>
    <row r="12" spans="1:2" x14ac:dyDescent="0.25">
      <c r="A12" t="s">
        <v>63</v>
      </c>
      <c r="B12" s="18">
        <f>-Assumptions!B30</f>
        <v>-5716700000</v>
      </c>
    </row>
    <row r="13" spans="1:2" x14ac:dyDescent="0.25">
      <c r="A13" t="s">
        <v>64</v>
      </c>
      <c r="B13" s="18">
        <f>B11+B12</f>
        <v>4480283837.280876</v>
      </c>
    </row>
    <row r="14" spans="1:2" x14ac:dyDescent="0.25">
      <c r="A14" s="19" t="s">
        <v>65</v>
      </c>
      <c r="B14" s="24">
        <f>B13/Assumptions!B31</f>
        <v>29.499228573466045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1252750844.2758079</v>
      </c>
    </row>
    <row r="18" spans="1:2" x14ac:dyDescent="0.25">
      <c r="A18" t="s">
        <v>60</v>
      </c>
      <c r="B18" s="18">
        <f>B17*Assumptions!B13</f>
        <v>13637800276.392536</v>
      </c>
    </row>
    <row r="19" spans="1:2" x14ac:dyDescent="0.25">
      <c r="A19" t="s">
        <v>61</v>
      </c>
      <c r="B19" s="18">
        <f>B18/(1+Assumptions!B26)^(5-0.5*Assumptions!B32)</f>
        <v>8805400121.926077</v>
      </c>
    </row>
    <row r="20" spans="1:2" x14ac:dyDescent="0.25">
      <c r="A20" t="s">
        <v>62</v>
      </c>
      <c r="B20" s="18">
        <f>Forecast!B17+B19</f>
        <v>13166844585.401424</v>
      </c>
    </row>
    <row r="21" spans="1:2" x14ac:dyDescent="0.25">
      <c r="A21" t="s">
        <v>63</v>
      </c>
      <c r="B21" s="18">
        <f>-Assumptions!B30</f>
        <v>-5716700000</v>
      </c>
    </row>
    <row r="22" spans="1:2" x14ac:dyDescent="0.25">
      <c r="A22" t="s">
        <v>64</v>
      </c>
      <c r="B22" s="18">
        <f>B20+B21</f>
        <v>7450144585.401424</v>
      </c>
    </row>
    <row r="23" spans="1:2" x14ac:dyDescent="0.25">
      <c r="A23" s="19" t="s">
        <v>65</v>
      </c>
      <c r="B23" s="25">
        <f>B22/Assumptions!B31</f>
        <v>49.05348098738082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89.58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29.499228573466045</v>
      </c>
    </row>
    <row r="29" spans="1:2" x14ac:dyDescent="0.25">
      <c r="A29" s="19" t="s">
        <v>73</v>
      </c>
      <c r="B29" s="12">
        <f>B28/B26-1</f>
        <v>-0.6706940324462375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0.0821</v>
      </c>
      <c r="B5" s="31">
        <v>43.66596859855269</v>
      </c>
      <c r="C5" s="31">
        <v>43.91907814693937</v>
      </c>
      <c r="D5" s="31">
        <v>44.17218769532602</v>
      </c>
      <c r="E5" s="31">
        <v>44.42529724371269</v>
      </c>
      <c r="F5" s="31">
        <v>44.67840679209935</v>
      </c>
    </row>
    <row r="6" spans="1:6" x14ac:dyDescent="0.25">
      <c r="A6" s="30">
        <v>0.0921</v>
      </c>
      <c r="B6" s="31">
        <v>35.614432858324854</v>
      </c>
      <c r="C6" s="31">
        <v>35.83091122900384</v>
      </c>
      <c r="D6" s="31">
        <v>36.047389599682816</v>
      </c>
      <c r="E6" s="31">
        <v>36.26386797036179</v>
      </c>
      <c r="F6" s="31">
        <v>36.480346341040736</v>
      </c>
    </row>
    <row r="7" spans="1:6" x14ac:dyDescent="0.25">
      <c r="A7" s="30">
        <v>0.1021</v>
      </c>
      <c r="B7" s="31">
        <v>29.12461243770479</v>
      </c>
      <c r="C7" s="31">
        <v>29.31204054513321</v>
      </c>
      <c r="D7" s="32">
        <v>29.499468652561635</v>
      </c>
      <c r="E7" s="31">
        <v>29.686896759990066</v>
      </c>
      <c r="F7" s="31">
        <v>29.874324867418476</v>
      </c>
    </row>
    <row r="8" spans="1:6" x14ac:dyDescent="0.25">
      <c r="A8" s="30">
        <v>0.1121</v>
      </c>
      <c r="B8" s="31">
        <v>23.779241261075633</v>
      </c>
      <c r="C8" s="31">
        <v>23.94314998785288</v>
      </c>
      <c r="D8" s="31">
        <v>24.1070587146301</v>
      </c>
      <c r="E8" s="31">
        <v>24.270967441407322</v>
      </c>
      <c r="F8" s="31">
        <v>24.43487616818454</v>
      </c>
    </row>
    <row r="9" spans="1:6" x14ac:dyDescent="0.25">
      <c r="A9" s="30">
        <v>0.1221</v>
      </c>
      <c r="B9" s="31">
        <v>19.297712007253608</v>
      </c>
      <c r="C9" s="31">
        <v>19.442255078422193</v>
      </c>
      <c r="D9" s="31">
        <v>19.586798149590752</v>
      </c>
      <c r="E9" s="31">
        <v>19.73134122075934</v>
      </c>
      <c r="F9" s="31">
        <v>19.875884291927914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15130400000</v>
      </c>
      <c r="C5" s="18">
        <v>15365700000</v>
      </c>
      <c r="D5" s="18">
        <v>15781100000</v>
      </c>
      <c r="E5" s="18">
        <v>16947400000</v>
      </c>
      <c r="F5" s="8" t="s">
        <v>84</v>
      </c>
    </row>
    <row r="6" spans="1:6" x14ac:dyDescent="0.25">
      <c r="A6" t="s">
        <v>44</v>
      </c>
      <c r="B6" s="18">
        <v>1255400000</v>
      </c>
      <c r="C6" s="18">
        <v>1181700000</v>
      </c>
      <c r="D6" s="18">
        <v>641900000</v>
      </c>
      <c r="E6" s="18">
        <v>914100000</v>
      </c>
      <c r="F6" s="8" t="s">
        <v>85</v>
      </c>
    </row>
    <row r="7" spans="1:6" x14ac:dyDescent="0.25">
      <c r="A7" t="s">
        <v>86</v>
      </c>
      <c r="B7" s="18">
        <v>512400000</v>
      </c>
      <c r="C7" s="18">
        <v>589500000</v>
      </c>
      <c r="D7" s="18">
        <v>625100000</v>
      </c>
      <c r="E7" s="18">
        <v>572200000</v>
      </c>
      <c r="F7" s="8" t="s">
        <v>87</v>
      </c>
    </row>
    <row r="8" spans="1:6" x14ac:dyDescent="0.25">
      <c r="A8" t="s">
        <v>88</v>
      </c>
      <c r="B8" s="18">
        <v>283300000</v>
      </c>
      <c r="C8" s="18">
        <v>353900000</v>
      </c>
      <c r="D8" s="18">
        <v>338700000</v>
      </c>
      <c r="E8" s="18">
        <v>530400000</v>
      </c>
      <c r="F8" s="8" t="s">
        <v>89</v>
      </c>
    </row>
    <row r="9" spans="1:6" x14ac:dyDescent="0.25">
      <c r="A9" t="s">
        <v>90</v>
      </c>
      <c r="B9" s="18">
        <v>248300000</v>
      </c>
      <c r="C9" s="18">
        <v>-74400000</v>
      </c>
      <c r="D9" s="18">
        <v>-754100000</v>
      </c>
      <c r="E9" s="18">
        <v>2075200000</v>
      </c>
      <c r="F9" s="8" t="s">
        <v>91</v>
      </c>
    </row>
    <row r="10" spans="1:6" x14ac:dyDescent="0.25">
      <c r="A10" t="s">
        <v>92</v>
      </c>
      <c r="B10" s="18">
        <v>5996800000</v>
      </c>
      <c r="C10" s="18">
        <v>6229600000</v>
      </c>
      <c r="D10" s="18">
        <v>7304600000</v>
      </c>
      <c r="E10" s="18">
        <v>7571100000</v>
      </c>
      <c r="F10" s="8" t="s">
        <v>93</v>
      </c>
    </row>
    <row r="11" spans="1:6" x14ac:dyDescent="0.25">
      <c r="A11" t="s">
        <v>94</v>
      </c>
      <c r="B11" s="18">
        <v>280100000</v>
      </c>
      <c r="C11" s="18">
        <v>290500000</v>
      </c>
      <c r="D11" s="18">
        <v>449400000</v>
      </c>
      <c r="E11" s="18">
        <v>395600000</v>
      </c>
      <c r="F11" s="8" t="s">
        <v>95</v>
      </c>
    </row>
    <row r="12" spans="1:6" x14ac:dyDescent="0.25">
      <c r="A12" t="s">
        <v>32</v>
      </c>
      <c r="B12" s="34">
        <v>151878000</v>
      </c>
      <c r="C12" s="34">
        <v>151297000</v>
      </c>
      <c r="D12" s="34">
        <v>149751000</v>
      </c>
      <c r="E12" s="34">
        <v>156553000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2026-09-19T00:06:10Z</dcterms:modified>
</cp:coreProperties>
</file>