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<sst xmlns="http://schemas.openxmlformats.org/spreadsheetml/2006/main" count="119" uniqueCount="106">
  <si>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Stanley Black &amp; Decker, Inc. (SWK)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</si>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</sst>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0.0022079198170570358</v>
      </c>
    </row>
    <row r="7" spans="1:2" x14ac:dyDescent="0.25">
      <c r="A7" t="s">
        <v>4</v>
      </c>
      <c r="B7" s="5">
        <v>0.0636224499555001</v>
      </c>
    </row>
    <row r="8" spans="1:2" x14ac:dyDescent="0.25">
      <c r="A8" t="s">
        <v>5</v>
      </c>
      <c r="B8" s="5">
        <v>0.0382866714525006</v>
      </c>
    </row>
    <row r="9" spans="1:2" x14ac:dyDescent="0.25">
      <c r="A9" t="s">
        <v>6</v>
      </c>
      <c r="B9" s="5">
        <v>0.03640105727644939</v>
      </c>
    </row>
    <row r="10" spans="1:3" x14ac:dyDescent="0.25">
      <c r="A10" t="s">
        <v>7</v>
      </c>
      <c r="B10" s="5">
        <v>0.023628732386866</v>
      </c>
      <c r="C10" s="6" t="s">
        <v>8</v>
      </c>
    </row>
    <row r="11" spans="1:2" x14ac:dyDescent="0.25">
      <c r="A11" t="s">
        <v>9</v>
      </c>
      <c r="B11" s="5">
        <v>0.21004694267267307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12.070291879171853</v>
      </c>
    </row>
    <row r="14" spans="1:3" x14ac:dyDescent="0.25">
      <c r="A14" t="s">
        <v>12</v>
      </c>
      <c r="B14" s="5">
        <v>0.09194277158076641</v>
      </c>
      <c r="C14" s="6" t="s">
        <v>13</v>
      </c>
    </row>
    <row r="15" spans="1:3" x14ac:dyDescent="0.25">
      <c r="A15" t="s">
        <v>14</v>
      </c>
      <c r="B15" s="5">
        <v>0.02528032618195103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1.1139000000000001</v>
      </c>
      <c r="C19" s="6" t="s">
        <v>21</v>
      </c>
    </row>
    <row r="20" spans="1:2" x14ac:dyDescent="0.25">
      <c r="A20" t="s">
        <v>22</v>
      </c>
      <c r="B20" s="9">
        <f>B17+B19*B18</f>
        <v>0.09605797</v>
      </c>
    </row>
    <row r="21" spans="1:3" x14ac:dyDescent="0.25">
      <c r="A21" t="s">
        <v>23</v>
      </c>
      <c r="B21" s="5">
        <v>0.0844565857488713</v>
      </c>
      <c r="C21" s="6" t="s">
        <v>24</v>
      </c>
    </row>
    <row r="22" spans="1:2" x14ac:dyDescent="0.25">
      <c r="A22" t="s">
        <v>25</v>
      </c>
      <c r="B22" s="10">
        <v>15621161984</v>
      </c>
    </row>
    <row r="23" spans="1:2" x14ac:dyDescent="0.25">
      <c r="A23" t="s">
        <v>26</v>
      </c>
      <c r="B23" s="10">
        <v>5996800000</v>
      </c>
    </row>
    <row r="24" spans="1:2" x14ac:dyDescent="0.25">
      <c r="A24" t="s">
        <v>27</v>
      </c>
      <c r="B24" s="9">
        <f>B22/(B22+B23)</f>
        <v>0.7226010479415967</v>
      </c>
    </row>
    <row r="25" spans="1:2" x14ac:dyDescent="0.25">
      <c r="A25" t="s">
        <v>28</v>
      </c>
      <c r="B25" s="9">
        <f>1-B24</f>
        <v>0.27739895205840326</v>
      </c>
    </row>
    <row r="26" spans="1:2" x14ac:dyDescent="0.25">
      <c r="A26" t="s">
        <v>29</v>
      </c>
      <c r="B26" s="11">
        <f>B24*B20+B25*B21*(1-B8)</f>
        <v>0.09194277158076641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15130400000</v>
      </c>
      <c r="C29" s="6" t="s">
        <v>32</v>
      </c>
    </row>
    <row r="30" spans="1:2" x14ac:dyDescent="0.25">
      <c r="A30" t="s">
        <v>33</v>
      </c>
      <c r="B30" s="10">
        <v>5716700000</v>
      </c>
    </row>
    <row r="31" spans="1:2" x14ac:dyDescent="0.25">
      <c r="A31" t="s">
        <v>34</v>
      </c>
      <c r="B31" s="12">
        <v>151878000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0.0022079198170570358</v>
      </c>
      <c r="C5" s="5">
        <v>0.012092171412279917</v>
      </c>
      <c r="D5" s="5">
        <v>0.013705649985744927</v>
      </c>
      <c r="E5" s="5">
        <v>0.015319128559209938</v>
      </c>
      <c r="F5" s="5">
        <v>0.01693260713267495</v>
      </c>
      <c r="G5" s="5">
        <v>0.01854608570613996</v>
      </c>
      <c r="H5" s="5">
        <v>0.02015956427960497</v>
      </c>
      <c r="I5" s="5">
        <v>0.021773042853069982</v>
      </c>
      <c r="J5" s="5">
        <v>0.023386521426534992</v>
      </c>
      <c r="K5" s="5">
        <v>0.025</v>
      </c>
    </row>
    <row r="6" spans="1:11" x14ac:dyDescent="0.25">
      <c r="A6" t="s">
        <v>50</v>
      </c>
      <c r="B6" s="18">
        <f>Assumptions!B29*(1+B5)</f>
        <v>15163806710</v>
      </c>
      <c r="C6" s="18">
        <f>B6*(1+C5)</f>
        <v>15347170060</v>
      </c>
      <c r="D6" s="18">
        <f>C6*(1+D5)</f>
        <v>15557513001.114063</v>
      </c>
      <c r="E6" s="18">
        <f>D6*(1+E5)</f>
        <v>15795840542.83971</v>
      </c>
      <c r="F6" s="18">
        <f>E6*(1+F5)</f>
        <v>16063305305.081995</v>
      </c>
      <c r="G6" s="18">
        <f>F6*(1+G5)</f>
        <v>16361216741.993938</v>
      </c>
      <c r="H6" s="18">
        <f>G6*(1+H5)</f>
        <v>16691051742.596712</v>
      </c>
      <c r="I6" s="18">
        <f>H6*(1+I5)</f>
        <v>17054466727.45108</v>
      </c>
      <c r="J6" s="18">
        <f>I6*(1+J5)</f>
        <v>17453311378.99074</v>
      </c>
      <c r="K6" s="18">
        <f>J6*(1+K5)</f>
        <v>17889644163.465508</v>
      </c>
    </row>
    <row r="7" spans="1:11" x14ac:dyDescent="0.25">
      <c r="A7" t="s">
        <v>4</v>
      </c>
      <c r="B7" s="9">
        <f>Assumptions!B7</f>
        <v>0.0636224499555001</v>
      </c>
      <c r="C7" s="9">
        <f>Assumptions!B7</f>
        <v>0.0636224499555001</v>
      </c>
      <c r="D7" s="9">
        <f>Assumptions!B7</f>
        <v>0.0636224499555001</v>
      </c>
      <c r="E7" s="9">
        <f>Assumptions!B7</f>
        <v>0.0636224499555001</v>
      </c>
      <c r="F7" s="9">
        <f>Assumptions!B7</f>
        <v>0.0636224499555001</v>
      </c>
      <c r="G7" s="9">
        <f>Assumptions!B7</f>
        <v>0.0636224499555001</v>
      </c>
      <c r="H7" s="9">
        <f>Assumptions!B7</f>
        <v>0.0636224499555001</v>
      </c>
      <c r="I7" s="9">
        <f>Assumptions!B7</f>
        <v>0.0636224499555001</v>
      </c>
      <c r="J7" s="9">
        <f>Assumptions!B7</f>
        <v>0.0636224499555001</v>
      </c>
      <c r="K7" s="9">
        <f>Assumptions!B7</f>
        <v>0.0636224499555001</v>
      </c>
    </row>
    <row r="8" spans="1:11" x14ac:dyDescent="0.25">
      <c r="A8" t="s">
        <v>51</v>
      </c>
      <c r="B8" s="18">
        <f>B6*B7</f>
        <v>964758533.5418515</v>
      </c>
      <c r="C8" s="18">
        <f>C6*C7</f>
        <v>976424559.1008993</v>
      </c>
      <c r="D8" s="18">
        <f>D6*D7</f>
        <v>989807092.3454216</v>
      </c>
      <c r="E8" s="18">
        <f>E6*E7</f>
        <v>1004970074.4418789</v>
      </c>
      <c r="F8" s="18">
        <f>F6*F7</f>
        <v>1021986837.8924984</v>
      </c>
      <c r="G8" s="18">
        <f>G6*G7</f>
        <v>1040940693.3785996</v>
      </c>
      <c r="H8" s="18">
        <f>H6*H7</f>
        <v>1061925604.1980219</v>
      </c>
      <c r="I8" s="18">
        <f>I6*I7</f>
        <v>1085046955.8849978</v>
      </c>
      <c r="J8" s="18">
        <f>J6*J7</f>
        <v>1110422429.7675989</v>
      </c>
      <c r="K8" s="18">
        <f>K6*K7</f>
        <v>1138182990.5117886</v>
      </c>
    </row>
    <row r="9" spans="1:11" x14ac:dyDescent="0.25">
      <c r="A9" t="s">
        <v>52</v>
      </c>
      <c r="B9" s="18">
        <f>B8*(1-Assumptions!B8)</f>
        <v>927821140.5371383</v>
      </c>
      <c r="C9" s="18">
        <f>C8*(1-Assumptions!B8)</f>
        <v>939040512.8084505</v>
      </c>
      <c r="D9" s="18">
        <f>D8*(1-Assumptions!B8)</f>
        <v>951910673.3994374</v>
      </c>
      <c r="E9" s="18">
        <f>E8*(1-Assumptions!B8)</f>
        <v>966493115.3821276</v>
      </c>
      <c r="F9" s="18">
        <f>F8*(1-Assumptions!B8)</f>
        <v>982858363.6013283</v>
      </c>
      <c r="G9" s="18">
        <f>G8*(1-Assumptions!B8)</f>
        <v>1001086539.049675</v>
      </c>
      <c r="H9" s="18">
        <f>H8*(1-Assumptions!B8)</f>
        <v>1021268007.483094</v>
      </c>
      <c r="I9" s="18">
        <f>I8*(1-Assumptions!B8)</f>
        <v>1043504119.5744929</v>
      </c>
      <c r="J9" s="18">
        <f>J8*(1-Assumptions!B8)</f>
        <v>1067908051.0255994</v>
      </c>
      <c r="K9" s="18">
        <f>K8*(1-Assumptions!B8)</f>
        <v>1094605752.301239</v>
      </c>
    </row>
    <row r="10" spans="1:11" x14ac:dyDescent="0.25">
      <c r="A10" t="s">
        <v>53</v>
      </c>
      <c r="B10" s="18">
        <f>B6*Assumptions!B9</f>
        <v>551978596.5797176</v>
      </c>
      <c r="C10" s="18">
        <f>C6*Assumptions!B9</f>
        <v>558653216.3854692</v>
      </c>
      <c r="D10" s="18">
        <f>D6*Assumptions!B9</f>
        <v>566309921.8326591</v>
      </c>
      <c r="E10" s="18">
        <f>E6*Assumptions!B9</f>
        <v>574985296.3295697</v>
      </c>
      <c r="F10" s="18">
        <f>F6*Assumptions!B9</f>
        <v>584721296.459383</v>
      </c>
      <c r="G10" s="18">
        <f>G6*Assumptions!B9</f>
        <v>595565587.7377241</v>
      </c>
      <c r="H10" s="18">
        <f>H6*Assumptions!B9</f>
        <v>607571930.4864434</v>
      </c>
      <c r="I10" s="18">
        <f>I6*Assumptions!B9</f>
        <v>620800620.1652472</v>
      </c>
      <c r="J10" s="18">
        <f>J6*Assumptions!B9</f>
        <v>635318987.1703479</v>
      </c>
      <c r="K10" s="18">
        <f>K6*Assumptions!B9</f>
        <v>651201961.8496065</v>
      </c>
    </row>
    <row r="11" spans="1:11" x14ac:dyDescent="0.25">
      <c r="A11" t="s">
        <v>54</v>
      </c>
      <c r="B11" s="18">
        <f>-B6*B19</f>
        <v>-358301530.71675295</v>
      </c>
      <c r="C11" s="18">
        <f>-C6*C19</f>
        <v>-398779781.063063</v>
      </c>
      <c r="D11" s="18">
        <f>-D6*D19</f>
        <v>-440886323.01889795</v>
      </c>
      <c r="E11" s="18">
        <f>-E6*E19</f>
        <v>-484842631.4156489</v>
      </c>
      <c r="F11" s="18">
        <f>-F6*F19</f>
        <v>-530884527.51867414</v>
      </c>
      <c r="G11" s="18">
        <f>-G6*G19</f>
        <v>-579264243.8526022</v>
      </c>
      <c r="H11" s="18">
        <f>-H6*H19</f>
        <v>-630252671.3574804</v>
      </c>
      <c r="I11" s="18">
        <f>-I6*I19</f>
        <v>-684141816.3584682</v>
      </c>
      <c r="J11" s="18">
        <f>-J6*J19</f>
        <v>-741247497.8579109</v>
      </c>
      <c r="K11" s="18">
        <f>-K6*K19</f>
        <v>-801912319.1630551</v>
      </c>
    </row>
    <row r="12" spans="1:11" x14ac:dyDescent="0.25">
      <c r="A12" t="s">
        <v>55</v>
      </c>
      <c r="B12" s="18">
        <f>-(B6-Assumptions!B29)*Assumptions!B11</f>
        <v>-7016977.300252615</v>
      </c>
      <c r="C12" s="18">
        <f>-(C6-B6)*Assumptions!B11</f>
        <v>-38514911.065719284</v>
      </c>
      <c r="D12" s="18">
        <f>-(D6-C6)*Assumptions!B11</f>
        <v>-44181891.69378709</v>
      </c>
      <c r="E12" s="18">
        <f>-(E6-D6)*Assumptions!B11</f>
        <v>-50059971.49416607</v>
      </c>
      <c r="F12" s="18">
        <f>-(F6-E6)*Assumptions!B11</f>
        <v>-56180155.58166532</v>
      </c>
      <c r="G12" s="18">
        <f>-(G6-F6)*Assumptions!B11</f>
        <v>-62575386.51057664</v>
      </c>
      <c r="H12" s="18">
        <f>-(H6-G6)*Assumptions!B11</f>
        <v>-69280833.46305189</v>
      </c>
      <c r="I12" s="18">
        <f>-(I6-H6)*Assumptions!B11</f>
        <v>-76334206.49009584</v>
      </c>
      <c r="J12" s="18">
        <f>-(J6-I6)*Assumptions!B11</f>
        <v>-83776099.65725353</v>
      </c>
      <c r="K12" s="18">
        <f>-(K6-J6)*Assumptions!B11</f>
        <v>-91650367.36677894</v>
      </c>
    </row>
    <row r="13" spans="1:11" x14ac:dyDescent="0.25">
      <c r="A13" s="19" t="s">
        <v>56</v>
      </c>
      <c r="B13" s="20">
        <f>B9+B10+B11+B12</f>
        <v>1114481229.0998504</v>
      </c>
      <c r="C13" s="20">
        <f>C9+C10+C11+C12</f>
        <v>1060399037.0651373</v>
      </c>
      <c r="D13" s="20">
        <f>D9+D10+D11+D12</f>
        <v>1033152380.5194116</v>
      </c>
      <c r="E13" s="20">
        <f>E9+E10+E11+E12</f>
        <v>1006575808.8018824</v>
      </c>
      <c r="F13" s="20">
        <f>F9+F10+F11+F12</f>
        <v>980514976.960372</v>
      </c>
      <c r="G13" s="20">
        <f>G9+G10+G11+G12</f>
        <v>954812496.4242202</v>
      </c>
      <c r="H13" s="20">
        <f>H9+H10+H11+H12</f>
        <v>929306433.1490049</v>
      </c>
      <c r="I13" s="20">
        <f>I9+I10+I11+I12</f>
        <v>903828716.8911761</v>
      </c>
      <c r="J13" s="20">
        <f>J9+J10+J11+J12</f>
        <v>878203440.6807828</v>
      </c>
      <c r="K13" s="20">
        <f>K9+K10+K11+K12</f>
        <v>852245027.6210115</v>
      </c>
    </row>
    <row r="14" spans="1:11" x14ac:dyDescent="0.25">
      <c r="A14" t="s">
        <v>57</v>
      </c>
      <c r="B14" s="21">
        <f>1/(1+Assumptions!$B$26)^(1-0.5*Assumptions!$B$32)</f>
        <v>0.9569738293201241</v>
      </c>
      <c r="C14" s="21">
        <f>1/(1+Assumptions!$B$26)^(2-0.5*Assumptions!$B$32)</f>
        <v>0.8763955897933622</v>
      </c>
      <c r="D14" s="21">
        <f>1/(1+Assumptions!$B$26)^(3-0.5*Assumptions!$B$32)</f>
        <v>0.8026021258647426</v>
      </c>
      <c r="E14" s="21">
        <f>1/(1+Assumptions!$B$26)^(4-0.5*Assumptions!$B$32)</f>
        <v>0.7350221520335212</v>
      </c>
      <c r="F14" s="21">
        <f>1/(1+Assumptions!$B$26)^(5-0.5*Assumptions!$B$32)</f>
        <v>0.6731324856608154</v>
      </c>
      <c r="G14" s="21">
        <f>1/(1+Assumptions!$B$26)^(6-0.5*Assumptions!$B$32)</f>
        <v>0.6164539966562036</v>
      </c>
      <c r="H14" s="21">
        <f>1/(1+Assumptions!$B$26)^(7-0.5*Assumptions!$B$32)</f>
        <v>0.5645478982051277</v>
      </c>
      <c r="I14" s="21">
        <f>1/(1+Assumptions!$B$26)^(8-0.5*Assumptions!$B$32)</f>
        <v>0.5170123498210918</v>
      </c>
      <c r="J14" s="21">
        <f>1/(1+Assumptions!$B$26)^(9-0.5*Assumptions!$B$32)</f>
        <v>0.4734793464245673</v>
      </c>
      <c r="K14" s="21">
        <f>1/(1+Assumptions!$B$26)^(10-0.5*Assumptions!$B$32)</f>
        <v>0.4336118693648462</v>
      </c>
    </row>
    <row r="15" spans="1:11" x14ac:dyDescent="0.25">
      <c r="A15" s="19" t="s">
        <v>58</v>
      </c>
      <c r="B15" s="20">
        <f>B13*B14</f>
        <v>1066529369.5170823</v>
      </c>
      <c r="C15" s="20">
        <f>C13*C14</f>
        <v>929329039.5050143</v>
      </c>
      <c r="D15" s="20">
        <f>D13*D14</f>
        <v>829210296.9470992</v>
      </c>
      <c r="E15" s="20">
        <f>E13*E14</f>
        <v>739855517.1704417</v>
      </c>
      <c r="F15" s="20">
        <f>F13*F14</f>
        <v>660016483.6689923</v>
      </c>
      <c r="G15" s="20">
        <f>G13*G14</f>
        <v>588597979.4779977</v>
      </c>
      <c r="H15" s="20">
        <f>H13*H14</f>
        <v>524637993.6227748</v>
      </c>
      <c r="I15" s="20">
        <f>I13*I14</f>
        <v>467290608.75568926</v>
      </c>
      <c r="J15" s="20">
        <f>J13*J14</f>
        <v>415811191.1213433</v>
      </c>
      <c r="K15" s="20">
        <f>K13*K14</f>
        <v>369543559.58364177</v>
      </c>
    </row>
    <row r="17" spans="1:2" x14ac:dyDescent="0.25">
      <c r="A17" s="22" t="s">
        <v>59</v>
      </c>
      <c r="B17" s="23">
        <f>SUM(B15:K15)</f>
        <v>6590822039.370078</v>
      </c>
    </row>
    <row r="19" spans="1:11" x14ac:dyDescent="0.25">
      <c r="A19" t="s">
        <v>7</v>
      </c>
      <c r="B19" s="9">
        <f>Assumptions!$B$10+($B$20-Assumptions!$B$10)*0/9</f>
        <v>0.023628732386866</v>
      </c>
      <c r="C19" s="9">
        <f>Assumptions!$B$10+($B$20-Assumptions!$B$10)*1/9</f>
        <v>0.02598392925236557</v>
      </c>
      <c r="D19" s="9">
        <f>Assumptions!$B$10+($B$20-Assumptions!$B$10)*2/9</f>
        <v>0.028339126117865134</v>
      </c>
      <c r="E19" s="9">
        <f>Assumptions!$B$10+($B$20-Assumptions!$B$10)*3/9</f>
        <v>0.030694322983364702</v>
      </c>
      <c r="F19" s="9">
        <f>Assumptions!$B$10+($B$20-Assumptions!$B$10)*4/9</f>
        <v>0.03304951984886427</v>
      </c>
      <c r="G19" s="9">
        <f>Assumptions!$B$10+($B$20-Assumptions!$B$10)*5/9</f>
        <v>0.035404716714363835</v>
      </c>
      <c r="H19" s="9">
        <f>Assumptions!$B$10+($B$20-Assumptions!$B$10)*6/9</f>
        <v>0.037759913579863406</v>
      </c>
      <c r="I19" s="9">
        <f>Assumptions!$B$10+($B$20-Assumptions!$B$10)*7/9</f>
        <v>0.04011511044536298</v>
      </c>
      <c r="J19" s="9">
        <f>Assumptions!$B$10+($B$20-Assumptions!$B$10)*8/9</f>
        <v>0.04247030731086254</v>
      </c>
      <c r="K19" s="9">
        <f>Assumptions!$B$10+($B$20-Assumptions!$B$10)*9/9</f>
        <v>0.04482550417636211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0.04482550417636211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852245027.6210115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1285934697.262448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0.2719082704401503</v>
      </c>
    </row>
    <row r="7" spans="1:2" x14ac:dyDescent="0.25">
      <c r="A7" t="s">
        <v>66</v>
      </c>
      <c r="B7" s="18">
        <f>-MAX(B5,0)*B6</f>
        <v>-349656279.4316105</v>
      </c>
    </row>
    <row r="8" spans="1:2" x14ac:dyDescent="0.25">
      <c r="A8" t="s">
        <v>67</v>
      </c>
      <c r="B8" s="18">
        <f>IF(OR(Assumptions!$B$33=0,Assumptions!B12&lt;=0),B5,MAX(B5+B7,0))</f>
        <v>936278417.8308375</v>
      </c>
    </row>
    <row r="9" spans="1:2" x14ac:dyDescent="0.25">
      <c r="A9" t="s">
        <v>68</v>
      </c>
      <c r="B9" s="18">
        <f>B8*(1+Assumptions!B12)/(Assumptions!B26-Assumptions!B12)</f>
        <v>14335907456.69603</v>
      </c>
    </row>
    <row r="10" spans="1:2" x14ac:dyDescent="0.25">
      <c r="A10" t="s">
        <v>69</v>
      </c>
      <c r="B10" s="18">
        <f>B9/(1+Assumptions!B26)^(10-0.5*Assumptions!B32)</f>
        <v>6216219631.339403</v>
      </c>
    </row>
    <row r="11" spans="1:2" x14ac:dyDescent="0.25">
      <c r="A11" t="s">
        <v>70</v>
      </c>
      <c r="B11" s="18">
        <f>Forecast!B17+B10</f>
        <v>12807041670.70948</v>
      </c>
    </row>
    <row r="12" spans="1:2" x14ac:dyDescent="0.25">
      <c r="A12" t="s">
        <v>71</v>
      </c>
      <c r="B12" s="18">
        <f>-Assumptions!B30</f>
        <v>-5716700000</v>
      </c>
    </row>
    <row r="13" spans="1:2" x14ac:dyDescent="0.25">
      <c r="A13" t="s">
        <v>72</v>
      </c>
      <c r="B13" s="18">
        <f>B11+B12</f>
        <v>7090341670.70948</v>
      </c>
    </row>
    <row r="14" spans="1:2" x14ac:dyDescent="0.25">
      <c r="A14" s="19" t="s">
        <v>73</v>
      </c>
      <c r="B14" s="24">
        <f>B13/Assumptions!B31</f>
        <v>46.68445509362436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1789384952.3613951</v>
      </c>
    </row>
    <row r="18" spans="1:2" x14ac:dyDescent="0.25">
      <c r="A18" t="s">
        <v>68</v>
      </c>
      <c r="B18" s="18">
        <f>B17*Assumptions!B13</f>
        <v>21598398659.20006</v>
      </c>
    </row>
    <row r="19" spans="1:2" x14ac:dyDescent="0.25">
      <c r="A19" t="s">
        <v>69</v>
      </c>
      <c r="B19" s="18">
        <f>B18/(1+Assumptions!B26)^(10-0.5*Assumptions!B32)</f>
        <v>9365322017.902925</v>
      </c>
    </row>
    <row r="20" spans="1:2" x14ac:dyDescent="0.25">
      <c r="A20" t="s">
        <v>70</v>
      </c>
      <c r="B20" s="18">
        <f>Forecast!B17+B19</f>
        <v>15956144057.273003</v>
      </c>
    </row>
    <row r="21" spans="1:2" x14ac:dyDescent="0.25">
      <c r="A21" t="s">
        <v>71</v>
      </c>
      <c r="B21" s="18">
        <f>-Assumptions!B30</f>
        <v>-5716700000</v>
      </c>
    </row>
    <row r="22" spans="1:2" x14ac:dyDescent="0.25">
      <c r="A22" t="s">
        <v>72</v>
      </c>
      <c r="B22" s="18">
        <f>B20+B21</f>
        <v>10239444057.273003</v>
      </c>
    </row>
    <row r="23" spans="1:2" x14ac:dyDescent="0.25">
      <c r="A23" s="19" t="s">
        <v>73</v>
      </c>
      <c r="B23" s="25">
        <f>B22/Assumptions!B31</f>
        <v>67.4188760536286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103.44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46.68445509362436</v>
      </c>
    </row>
    <row r="29" spans="1:2" x14ac:dyDescent="0.25">
      <c r="A29" s="19" t="s">
        <v>81</v>
      </c>
      <c r="B29" s="11">
        <f>B28/B26-1</f>
        <v>-0.5486808285612494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0.071943</v>
      </c>
      <c r="B5" s="31">
        <v>72.52484858577299</v>
      </c>
      <c r="C5" s="31">
        <v>71.09222822868702</v>
      </c>
      <c r="D5" s="31">
        <v>69.659607871601</v>
      </c>
      <c r="E5" s="31">
        <v>68.22698751451499</v>
      </c>
      <c r="F5" s="31">
        <v>66.79436715742898</v>
      </c>
    </row>
    <row r="6" spans="1:6" x14ac:dyDescent="0.25">
      <c r="A6" s="30">
        <v>0.081943</v>
      </c>
      <c r="B6" s="31">
        <v>59.139997922524806</v>
      </c>
      <c r="C6" s="31">
        <v>57.94977783619665</v>
      </c>
      <c r="D6" s="31">
        <v>56.75955774986848</v>
      </c>
      <c r="E6" s="31">
        <v>55.5693376635403</v>
      </c>
      <c r="F6" s="31">
        <v>54.37911757721212</v>
      </c>
    </row>
    <row r="7" spans="1:6" x14ac:dyDescent="0.25">
      <c r="A7" s="30">
        <v>0.091943</v>
      </c>
      <c r="B7" s="31">
        <v>48.693544769449026</v>
      </c>
      <c r="C7" s="31">
        <v>47.6888974752306</v>
      </c>
      <c r="D7" s="32">
        <v>46.68425018101214</v>
      </c>
      <c r="E7" s="31">
        <v>45.67960288679372</v>
      </c>
      <c r="F7" s="31">
        <v>44.67495559257527</v>
      </c>
    </row>
    <row r="8" spans="1:6" x14ac:dyDescent="0.25">
      <c r="A8" s="30">
        <v>0.101943</v>
      </c>
      <c r="B8" s="31">
        <v>40.31830656749153</v>
      </c>
      <c r="C8" s="31">
        <v>39.45942214257432</v>
      </c>
      <c r="D8" s="31">
        <v>38.60053771765706</v>
      </c>
      <c r="E8" s="31">
        <v>37.741653292739834</v>
      </c>
      <c r="F8" s="31">
        <v>36.882768867822584</v>
      </c>
    </row>
    <row r="9" spans="1:6" x14ac:dyDescent="0.25">
      <c r="A9" s="30">
        <v>0.111943</v>
      </c>
      <c r="B9" s="31">
        <v>33.457204926641325</v>
      </c>
      <c r="C9" s="31">
        <v>32.7151861631908</v>
      </c>
      <c r="D9" s="31">
        <v>31.973167399740273</v>
      </c>
      <c r="E9" s="31">
        <v>31.23114863628975</v>
      </c>
      <c r="F9" s="31">
        <v>30.489129872839225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15130400000</v>
      </c>
      <c r="C5" s="18">
        <v>15365700000</v>
      </c>
      <c r="D5" s="18">
        <v>15781100000</v>
      </c>
      <c r="E5" s="18">
        <v>16947400000</v>
      </c>
      <c r="F5" s="6" t="s">
        <v>91</v>
      </c>
    </row>
    <row r="6" spans="1:6" x14ac:dyDescent="0.25">
      <c r="A6" t="s">
        <v>51</v>
      </c>
      <c r="B6" s="18">
        <v>1255400000</v>
      </c>
      <c r="C6" s="18">
        <v>1181700000</v>
      </c>
      <c r="D6" s="18">
        <v>641900000</v>
      </c>
      <c r="E6" s="18">
        <v>914100000</v>
      </c>
      <c r="F6" s="6" t="s">
        <v>92</v>
      </c>
    </row>
    <row r="7" spans="1:6" x14ac:dyDescent="0.25">
      <c r="A7" t="s">
        <v>93</v>
      </c>
      <c r="B7" s="18">
        <v>512400000</v>
      </c>
      <c r="C7" s="18">
        <v>589500000</v>
      </c>
      <c r="D7" s="18">
        <v>625100000</v>
      </c>
      <c r="E7" s="18">
        <v>572200000</v>
      </c>
      <c r="F7" s="6" t="s">
        <v>94</v>
      </c>
    </row>
    <row r="8" spans="1:6" x14ac:dyDescent="0.25">
      <c r="A8" t="s">
        <v>95</v>
      </c>
      <c r="B8" s="18">
        <v>283300000</v>
      </c>
      <c r="C8" s="18">
        <v>353900000</v>
      </c>
      <c r="D8" s="18">
        <v>338700000</v>
      </c>
      <c r="E8" s="18">
        <v>530400000</v>
      </c>
      <c r="F8" s="6" t="s">
        <v>96</v>
      </c>
    </row>
    <row r="9" spans="1:6" x14ac:dyDescent="0.25">
      <c r="A9" t="s">
        <v>97</v>
      </c>
      <c r="B9" s="18">
        <v>248300000</v>
      </c>
      <c r="C9" s="18">
        <v>-74400000</v>
      </c>
      <c r="D9" s="18">
        <v>-754100000</v>
      </c>
      <c r="E9" s="18">
        <v>2075200000</v>
      </c>
      <c r="F9" s="6" t="s">
        <v>98</v>
      </c>
    </row>
    <row r="10" spans="1:6" x14ac:dyDescent="0.25">
      <c r="A10" t="s">
        <v>99</v>
      </c>
      <c r="B10" s="18">
        <v>5996800000</v>
      </c>
      <c r="C10" s="18">
        <v>6229600000</v>
      </c>
      <c r="D10" s="18">
        <v>7304600000</v>
      </c>
      <c r="E10" s="18">
        <v>7571100000</v>
      </c>
      <c r="F10" s="6" t="s">
        <v>100</v>
      </c>
    </row>
    <row r="11" spans="1:6" x14ac:dyDescent="0.25">
      <c r="A11" t="s">
        <v>101</v>
      </c>
      <c r="B11" s="18">
        <v>280100000</v>
      </c>
      <c r="C11" s="18">
        <v>290500000</v>
      </c>
      <c r="D11" s="18">
        <v>449400000</v>
      </c>
      <c r="E11" s="18">
        <v>395600000</v>
      </c>
      <c r="F11" s="6" t="s">
        <v>102</v>
      </c>
    </row>
    <row r="12" spans="1:6" x14ac:dyDescent="0.25">
      <c r="A12" t="s">
        <v>34</v>
      </c>
      <c r="B12" s="34">
        <v>151878000</v>
      </c>
      <c r="C12" s="34">
        <v>151297000</v>
      </c>
      <c r="D12" s="34">
        <v>149751000</v>
      </c>
      <c r="E12" s="34">
        <v>156553000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