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<sst xmlns="http://schemas.openxmlformats.org/spreadsheetml/2006/main" count="120" uniqueCount="107">
  <si>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Skyworks Solutions, Inc. (SWKS)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</si>
  <si>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</si>
  <si>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</si>
  <si>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</si>
  <si>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</si>
  <si>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</si>
  <si>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</si>
  <si>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</si>
  <si>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</si>
  <si>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</si>
  <si>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</si>
  <si>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</si>
  <si>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</si>
  <si>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</si>
  <si>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</si>
  <si>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</si>
  <si>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</si>
  <si>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</si>
  <si>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</si>
  <si>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</si>
  <si>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</si>
  <si>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</si>
  <si>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</si>
  <si>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</si>
  <si>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19.3x interest cover. Book interest / average debt was lower, at 2.3%.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</si>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</sst>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-0.03406545058601873</v>
      </c>
    </row>
    <row r="7" spans="1:2" x14ac:dyDescent="0.25">
      <c r="A7" t="s">
        <v>4</v>
      </c>
      <c r="B7" s="5">
        <v>0.21058851443341933</v>
      </c>
    </row>
    <row r="8" spans="1:2" x14ac:dyDescent="0.25">
      <c r="A8" t="s">
        <v>5</v>
      </c>
      <c r="B8" s="5">
        <v>0.09157950958314334</v>
      </c>
    </row>
    <row r="9" spans="1:2" x14ac:dyDescent="0.25">
      <c r="A9" t="s">
        <v>6</v>
      </c>
      <c r="B9" s="5">
        <v>0.11892624111883987</v>
      </c>
    </row>
    <row r="10" spans="1:3" x14ac:dyDescent="0.25">
      <c r="A10" t="s">
        <v>7</v>
      </c>
      <c r="B10" s="5">
        <v>0.06031098422321053</v>
      </c>
      <c r="C10" s="6" t="s">
        <v>8</v>
      </c>
    </row>
    <row r="11" spans="1:2" x14ac:dyDescent="0.25">
      <c r="A11" t="s">
        <v>9</v>
      </c>
      <c r="B11" s="5">
        <v>0.32183813019814744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0.11981455955971185</v>
      </c>
      <c r="C14" s="6" t="s">
        <v>13</v>
      </c>
    </row>
    <row r="15" spans="1:3" x14ac:dyDescent="0.25">
      <c r="A15" t="s">
        <v>14</v>
      </c>
      <c r="B15" s="5">
        <v>0.07118266275182804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1.32026</v>
      </c>
      <c r="C19" s="6" t="s">
        <v>21</v>
      </c>
    </row>
    <row r="20" spans="1:2" x14ac:dyDescent="0.25">
      <c r="A20" t="s">
        <v>22</v>
      </c>
      <c r="B20" s="9">
        <f>B17+B19*B18</f>
        <v>0.10478699799999999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20595800064</v>
      </c>
    </row>
    <row r="23" spans="1:2" x14ac:dyDescent="0.25">
      <c r="A23" t="s">
        <v>26</v>
      </c>
      <c r="B23" s="10">
        <v>1203100000</v>
      </c>
    </row>
    <row r="24" spans="1:2" x14ac:dyDescent="0.25">
      <c r="A24" t="s">
        <v>27</v>
      </c>
      <c r="B24" s="9">
        <f>B22/(B22+B23)</f>
        <v>0.9448091419077208</v>
      </c>
    </row>
    <row r="25" spans="1:2" x14ac:dyDescent="0.25">
      <c r="A25" t="s">
        <v>28</v>
      </c>
      <c r="B25" s="9">
        <f>1-B24</f>
        <v>0.055190858092279194</v>
      </c>
    </row>
    <row r="26" spans="1:2" x14ac:dyDescent="0.25">
      <c r="A26" t="s">
        <v>29</v>
      </c>
      <c r="B26" s="11">
        <f>B24*B20+B25*B21*(1-B8)</f>
        <v>0.10165794031094348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4086900000</v>
      </c>
      <c r="C29" s="6" t="s">
        <v>32</v>
      </c>
    </row>
    <row r="30" spans="1:2" x14ac:dyDescent="0.25">
      <c r="A30" t="s">
        <v>33</v>
      </c>
      <c r="B30" s="10">
        <v>-171100000</v>
      </c>
    </row>
    <row r="31" spans="1:2" x14ac:dyDescent="0.25">
      <c r="A31" t="s">
        <v>34</v>
      </c>
      <c r="B31" s="12">
        <v>155100000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-0.03406545058601873</v>
      </c>
      <c r="C5" s="5"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3947677910</v>
      </c>
      <c r="C6" s="18">
        <f>B6*(1+C5)</f>
        <v>5921516865</v>
      </c>
      <c r="D6" s="18">
        <f>C6*(1+D5)</f>
        <v>8530685233.640625</v>
      </c>
      <c r="E6" s="18">
        <f>D6*(1+E5)</f>
        <v>11783008978.966114</v>
      </c>
      <c r="F6" s="18">
        <f>E6*(1+F5)</f>
        <v>15575664994.070831</v>
      </c>
      <c r="G6" s="18">
        <f>F6*(1+G5)</f>
        <v>19664277055.014423</v>
      </c>
      <c r="H6" s="18">
        <f>G6*(1+H5)</f>
        <v>23658583331.814228</v>
      </c>
      <c r="I6" s="18">
        <f>H6*(1+I5)</f>
        <v>27059504685.762524</v>
      </c>
      <c r="J6" s="18">
        <f>I6*(1+J5)</f>
        <v>29342650393.623737</v>
      </c>
      <c r="K6" s="18">
        <f>J6*(1+K5)</f>
        <v>30076216653.46433</v>
      </c>
    </row>
    <row r="7" spans="1:11" x14ac:dyDescent="0.25">
      <c r="A7" t="s">
        <v>4</v>
      </c>
      <c r="B7" s="9">
        <f>Assumptions!B7</f>
        <v>0.21058851443341933</v>
      </c>
      <c r="C7" s="9">
        <f>Assumptions!B7</f>
        <v>0.21058851443341933</v>
      </c>
      <c r="D7" s="9">
        <f>Assumptions!B7</f>
        <v>0.21058851443341933</v>
      </c>
      <c r="E7" s="9">
        <f>Assumptions!B7</f>
        <v>0.21058851443341933</v>
      </c>
      <c r="F7" s="9">
        <f>Assumptions!B7</f>
        <v>0.21058851443341933</v>
      </c>
      <c r="G7" s="9">
        <f>Assumptions!B7</f>
        <v>0.21058851443341933</v>
      </c>
      <c r="H7" s="9">
        <f>Assumptions!B7</f>
        <v>0.21058851443341933</v>
      </c>
      <c r="I7" s="9">
        <f>Assumptions!B7</f>
        <v>0.21058851443341933</v>
      </c>
      <c r="J7" s="9">
        <f>Assumptions!B7</f>
        <v>0.21058851443341933</v>
      </c>
      <c r="K7" s="9">
        <f>Assumptions!B7</f>
        <v>0.21058851443341933</v>
      </c>
    </row>
    <row r="8" spans="1:11" x14ac:dyDescent="0.25">
      <c r="A8" t="s">
        <v>51</v>
      </c>
      <c r="B8" s="18">
        <f>B6*B7</f>
        <v>831335626.5285257</v>
      </c>
      <c r="C8" s="18">
        <f>C6*C7</f>
        <v>1247003439.7927885</v>
      </c>
      <c r="D8" s="18">
        <f>D6*D7</f>
        <v>1796464330.4514859</v>
      </c>
      <c r="E8" s="18">
        <f>E6*E7</f>
        <v>2481366356.4361153</v>
      </c>
      <c r="F8" s="18">
        <f>F6*F7</f>
        <v>3280056152.4139895</v>
      </c>
      <c r="G8" s="18">
        <f>G6*G7</f>
        <v>4141070892.4226613</v>
      </c>
      <c r="H8" s="18">
        <f>H6*H7</f>
        <v>4982225917.446014</v>
      </c>
      <c r="I8" s="18">
        <f>I6*I7</f>
        <v>5698420893.078879</v>
      </c>
      <c r="J8" s="18">
        <f>J6*J7</f>
        <v>6179225155.93241</v>
      </c>
      <c r="K8" s="18">
        <f>K6*K7</f>
        <v>6333705784.83072</v>
      </c>
    </row>
    <row r="9" spans="1:11" x14ac:dyDescent="0.25">
      <c r="A9" t="s">
        <v>52</v>
      </c>
      <c r="B9" s="18">
        <f>B8*(1-Assumptions!B8)</f>
        <v>755202317.5520481</v>
      </c>
      <c r="C9" s="18">
        <f>C8*(1-Assumptions!B8)</f>
        <v>1132803476.328072</v>
      </c>
      <c r="D9" s="18">
        <f>D8*(1-Assumptions!B8)</f>
        <v>1631945008.0851288</v>
      </c>
      <c r="E9" s="18">
        <f>E8*(1-Assumptions!B8)</f>
        <v>2254124042.4175844</v>
      </c>
      <c r="F9" s="18">
        <f>F8*(1-Assumptions!B8)</f>
        <v>2979670218.5707445</v>
      </c>
      <c r="G9" s="18">
        <f>G8*(1-Assumptions!B8)</f>
        <v>3761833650.9455643</v>
      </c>
      <c r="H9" s="18">
        <f>H8*(1-Assumptions!B8)</f>
        <v>4525956111.293882</v>
      </c>
      <c r="I9" s="18">
        <f>I8*(1-Assumptions!B8)</f>
        <v>5176562302.292378</v>
      </c>
      <c r="J9" s="18">
        <f>J8*(1-Assumptions!B8)</f>
        <v>5613334746.548298</v>
      </c>
      <c r="K9" s="18">
        <f>K8*(1-Assumptions!B8)</f>
        <v>5753668115.212005</v>
      </c>
    </row>
    <row r="10" spans="1:11" x14ac:dyDescent="0.25">
      <c r="A10" t="s">
        <v>53</v>
      </c>
      <c r="B10" s="18">
        <f>B6*Assumptions!B9</f>
        <v>469482494.9841778</v>
      </c>
      <c r="C10" s="18">
        <f>C6*Assumptions!B9</f>
        <v>704223742.4762667</v>
      </c>
      <c r="D10" s="18">
        <f>D6*Assumptions!B9</f>
        <v>1014522329.0048718</v>
      </c>
      <c r="E10" s="18">
        <f>E6*Assumptions!B9</f>
        <v>1401308966.9379792</v>
      </c>
      <c r="F10" s="18">
        <f>F6*Assumptions!B9</f>
        <v>1852355290.6711411</v>
      </c>
      <c r="G10" s="18">
        <f>G6*Assumptions!B9</f>
        <v>2338598554.472316</v>
      </c>
      <c r="H10" s="18">
        <f>H6*Assumptions!B9</f>
        <v>2813626385.849505</v>
      </c>
      <c r="I10" s="18">
        <f>I6*Assumptions!B9</f>
        <v>3218085178.815371</v>
      </c>
      <c r="J10" s="18">
        <f>J6*Assumptions!B9</f>
        <v>3489611115.7779183</v>
      </c>
      <c r="K10" s="18">
        <f>K6*Assumptions!B9</f>
        <v>3576851393.672366</v>
      </c>
    </row>
    <row r="11" spans="1:11" x14ac:dyDescent="0.25">
      <c r="A11" t="s">
        <v>54</v>
      </c>
      <c r="B11" s="18">
        <f>-B6*B19</f>
        <v>-238088340.14832672</v>
      </c>
      <c r="C11" s="18">
        <f>-C6*C19</f>
        <v>-396502569.78916186</v>
      </c>
      <c r="D11" s="18">
        <f>-D6*D19</f>
        <v>-627929006.6657479</v>
      </c>
      <c r="E11" s="18">
        <f>-E6*E19</f>
        <v>-945667976.3694096</v>
      </c>
      <c r="F11" s="18">
        <f>-F6*F19</f>
        <v>-1353611913.109945</v>
      </c>
      <c r="G11" s="18">
        <f>-G6*G19</f>
        <v>-1839675824.5701778</v>
      </c>
      <c r="H11" s="18">
        <f>-H6*H19</f>
        <v>-2370657482.5094824</v>
      </c>
      <c r="I11" s="18">
        <f>-I6*I19</f>
        <v>-2891348518.1917715</v>
      </c>
      <c r="J11" s="18">
        <f>-J6*J19</f>
        <v>-3330394895.765228</v>
      </c>
      <c r="K11" s="18">
        <f>-K6*K19</f>
        <v>-3613620835.66916</v>
      </c>
    </row>
    <row r="12" spans="1:11" x14ac:dyDescent="0.25">
      <c r="A12" t="s">
        <v>55</v>
      </c>
      <c r="B12" s="18">
        <f>-(B6-Assumptions!B29)*Assumptions!B11</f>
        <v>44806977.127878204</v>
      </c>
      <c r="C12" s="18">
        <f>-(C6-B6)*Assumptions!B11</f>
        <v>-635256638.5894653</v>
      </c>
      <c r="D12" s="18">
        <f>-(D6-C6)*Assumptions!B11</f>
        <v>-839729869.1354494</v>
      </c>
      <c r="E12" s="18">
        <f>-(E6-D6)*Assumptions!B11</f>
        <v>-1046721792.9945912</v>
      </c>
      <c r="F12" s="18">
        <f>-(F6-E6)*Assumptions!B11</f>
        <v>-1220621320.386059</v>
      </c>
      <c r="G12" s="18">
        <f>-(G6-F6)*Assumptions!B11</f>
        <v>-1315871260.7996798</v>
      </c>
      <c r="H12" s="18">
        <f>-(H6-G6)*Assumptions!B11</f>
        <v>-1285520063.5639732</v>
      </c>
      <c r="I12" s="18">
        <f>-(I6-H6)*Assumptions!B11</f>
        <v>-1094546169.5056715</v>
      </c>
      <c r="J12" s="18">
        <f>-(J6-I6)*Assumptions!B11</f>
        <v>-734803345.5879788</v>
      </c>
      <c r="K12" s="18">
        <f>-(K6-J6)*Assumptions!B11</f>
        <v>-236089593.44354433</v>
      </c>
    </row>
    <row r="13" spans="1:11" x14ac:dyDescent="0.25">
      <c r="A13" s="19" t="s">
        <v>56</v>
      </c>
      <c r="B13" s="20">
        <f>B9+B10+B11+B12</f>
        <v>1031403449.5157772</v>
      </c>
      <c r="C13" s="20">
        <f>C9+C10+C11+C12</f>
        <v>805268010.4257118</v>
      </c>
      <c r="D13" s="20">
        <f>D9+D10+D11+D12</f>
        <v>1178808461.2888033</v>
      </c>
      <c r="E13" s="20">
        <f>E9+E10+E11+E12</f>
        <v>1663043239.9915628</v>
      </c>
      <c r="F13" s="20">
        <f>F9+F10+F11+F12</f>
        <v>2257792275.745882</v>
      </c>
      <c r="G13" s="20">
        <f>G9+G10+G11+G12</f>
        <v>2944885120.0480223</v>
      </c>
      <c r="H13" s="20">
        <f>H9+H10+H11+H12</f>
        <v>3683404951.069931</v>
      </c>
      <c r="I13" s="20">
        <f>I9+I10+I11+I12</f>
        <v>4408752793.410307</v>
      </c>
      <c r="J13" s="20">
        <f>J9+J10+J11+J12</f>
        <v>5037747620.973009</v>
      </c>
      <c r="K13" s="20">
        <f>K9+K10+K11+K12</f>
        <v>5480809079.771667</v>
      </c>
    </row>
    <row r="14" spans="1:11" x14ac:dyDescent="0.25">
      <c r="A14" t="s">
        <v>57</v>
      </c>
      <c r="B14" s="21">
        <f>1/(1+Assumptions!$B$26)^(1-0.5*Assumptions!$B$32)</f>
        <v>0.9527448622624285</v>
      </c>
      <c r="C14" s="21">
        <f>1/(1+Assumptions!$B$26)^(2-0.5*Assumptions!$B$32)</f>
        <v>0.8648282079222482</v>
      </c>
      <c r="D14" s="21">
        <f>1/(1+Assumptions!$B$26)^(3-0.5*Assumptions!$B$32)</f>
        <v>0.7850242586897256</v>
      </c>
      <c r="E14" s="21">
        <f>1/(1+Assumptions!$B$26)^(4-0.5*Assumptions!$B$32)</f>
        <v>0.7125843966305476</v>
      </c>
      <c r="F14" s="21">
        <f>1/(1+Assumptions!$B$26)^(5-0.5*Assumptions!$B$32)</f>
        <v>0.6468290841977868</v>
      </c>
      <c r="G14" s="21">
        <f>1/(1+Assumptions!$B$26)^(6-0.5*Assumptions!$B$32)</f>
        <v>0.587141489685282</v>
      </c>
      <c r="H14" s="21">
        <f>1/(1+Assumptions!$B$26)^(7-0.5*Assumptions!$B$32)</f>
        <v>0.5329617009065093</v>
      </c>
      <c r="I14" s="21">
        <f>1/(1+Assumptions!$B$26)^(8-0.5*Assumptions!$B$32)</f>
        <v>0.4837814728191226</v>
      </c>
      <c r="J14" s="21">
        <f>1/(1+Assumptions!$B$26)^(9-0.5*Assumptions!$B$32)</f>
        <v>0.4391394598241402</v>
      </c>
      <c r="K14" s="21">
        <f>1/(1+Assumptions!$B$26)^(10-0.5*Assumptions!$B$32)</f>
        <v>0.3986168880153425</v>
      </c>
    </row>
    <row r="15" spans="1:11" x14ac:dyDescent="0.25">
      <c r="A15" s="19" t="s">
        <v>58</v>
      </c>
      <c r="B15" s="20">
        <f>B13*B14</f>
        <v>982664337.4459028</v>
      </c>
      <c r="C15" s="20">
        <f>C13*C14</f>
        <v>696418490.3535826</v>
      </c>
      <c r="D15" s="20">
        <f>D13*D14</f>
        <v>925393238.4604189</v>
      </c>
      <c r="E15" s="20">
        <f>E13*E14</f>
        <v>1185058663.739899</v>
      </c>
      <c r="F15" s="20">
        <f>F13*F14</f>
        <v>1460405710.0295458</v>
      </c>
      <c r="G15" s="20">
        <f>G13*G14</f>
        <v>1729064236.3370163</v>
      </c>
      <c r="H15" s="20">
        <f>H13*H14</f>
        <v>1963113767.849688</v>
      </c>
      <c r="I15" s="20">
        <f>I13*I14</f>
        <v>2132872919.6914592</v>
      </c>
      <c r="J15" s="20">
        <f>J13*J14</f>
        <v>2212273769.0044346</v>
      </c>
      <c r="K15" s="20">
        <f>K13*K14</f>
        <v>2184743059.184815</v>
      </c>
    </row>
    <row r="17" spans="1:2" x14ac:dyDescent="0.25">
      <c r="A17" s="22" t="s">
        <v>59</v>
      </c>
      <c r="B17" s="23">
        <f>SUM(B15:K15)</f>
        <v>15472008192.096762</v>
      </c>
    </row>
    <row r="19" spans="1:11" x14ac:dyDescent="0.25">
      <c r="A19" t="s">
        <v>7</v>
      </c>
      <c r="B19" s="9">
        <f>Assumptions!$B$10+($B$20-Assumptions!$B$10)*0/9</f>
        <v>0.06031098422321053</v>
      </c>
      <c r="C19" s="9">
        <f>Assumptions!$B$10+($B$20-Assumptions!$B$10)*1/9</f>
        <v>0.06695962855949104</v>
      </c>
      <c r="D19" s="9">
        <f>Assumptions!$B$10+($B$20-Assumptions!$B$10)*2/9</f>
        <v>0.07360827289577156</v>
      </c>
      <c r="E19" s="9">
        <f>Assumptions!$B$10+($B$20-Assumptions!$B$10)*3/9</f>
        <v>0.08025691723205206</v>
      </c>
      <c r="F19" s="9">
        <f>Assumptions!$B$10+($B$20-Assumptions!$B$10)*4/9</f>
        <v>0.08690556156833257</v>
      </c>
      <c r="G19" s="9">
        <f>Assumptions!$B$10+($B$20-Assumptions!$B$10)*5/9</f>
        <v>0.09355420590461308</v>
      </c>
      <c r="H19" s="9">
        <f>Assumptions!$B$10+($B$20-Assumptions!$B$10)*6/9</f>
        <v>0.10020285024089359</v>
      </c>
      <c r="I19" s="9">
        <f>Assumptions!$B$10+($B$20-Assumptions!$B$10)*7/9</f>
        <v>0.1068514945771741</v>
      </c>
      <c r="J19" s="9">
        <f>Assumptions!$B$10+($B$20-Assumptions!$B$10)*8/9</f>
        <v>0.11350013891345462</v>
      </c>
      <c r="K19" s="9">
        <f>Assumptions!$B$10+($B$20-Assumptions!$B$10)*9/9</f>
        <v>0.12014878324973513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0.12014878324973513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5480809079.771667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7058111072.58541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0.2086557768260274</v>
      </c>
    </row>
    <row r="7" spans="1:2" x14ac:dyDescent="0.25">
      <c r="A7" t="s">
        <v>66</v>
      </c>
      <c r="B7" s="18">
        <f>-MAX(B5,0)*B6</f>
        <v>-1472715648.7746942</v>
      </c>
    </row>
    <row r="8" spans="1:2" x14ac:dyDescent="0.25">
      <c r="A8" t="s">
        <v>67</v>
      </c>
      <c r="B8" s="18">
        <f>IF(OR(Assumptions!$B$33=0,Assumptions!B12&lt;=0),B5,MAX(B5+B7,0))</f>
        <v>5585395423.810716</v>
      </c>
    </row>
    <row r="9" spans="1:2" x14ac:dyDescent="0.25">
      <c r="A9" t="s">
        <v>68</v>
      </c>
      <c r="B9" s="18">
        <f>B8*(1+Assumptions!B12)/(Assumptions!B26-Assumptions!B12)</f>
        <v>74682808932.56264</v>
      </c>
    </row>
    <row r="10" spans="1:2" x14ac:dyDescent="0.25">
      <c r="A10" t="s">
        <v>69</v>
      </c>
      <c r="B10" s="18">
        <f>B9/(1+Assumptions!B26)^(10-0.5*Assumptions!B32)</f>
        <v>29769828884.942543</v>
      </c>
    </row>
    <row r="11" spans="1:2" x14ac:dyDescent="0.25">
      <c r="A11" t="s">
        <v>70</v>
      </c>
      <c r="B11" s="18">
        <f>Forecast!B17+B10</f>
        <v>45241837077.03931</v>
      </c>
    </row>
    <row r="12" spans="1:2" x14ac:dyDescent="0.25">
      <c r="A12" t="s">
        <v>71</v>
      </c>
      <c r="B12" s="18">
        <f>-Assumptions!B30</f>
        <v>171100000</v>
      </c>
    </row>
    <row r="13" spans="1:2" x14ac:dyDescent="0.25">
      <c r="A13" t="s">
        <v>72</v>
      </c>
      <c r="B13" s="18">
        <f>B11+B12</f>
        <v>45412937077.03931</v>
      </c>
    </row>
    <row r="14" spans="1:2" x14ac:dyDescent="0.25">
      <c r="A14" s="19" t="s">
        <v>73</v>
      </c>
      <c r="B14" s="24">
        <f>B13/Assumptions!B31</f>
        <v>292.79778902024054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9910557178.503086</v>
      </c>
    </row>
    <row r="18" spans="1:2" x14ac:dyDescent="0.25">
      <c r="A18" t="s">
        <v>68</v>
      </c>
      <c r="B18" s="18">
        <f>B17*Assumptions!B13</f>
        <v>198211143570.0617</v>
      </c>
    </row>
    <row r="19" spans="1:2" x14ac:dyDescent="0.25">
      <c r="A19" t="s">
        <v>69</v>
      </c>
      <c r="B19" s="18">
        <f>B18/(1+Assumptions!B26)^(10-0.5*Assumptions!B32)</f>
        <v>79010309219.86026</v>
      </c>
    </row>
    <row r="20" spans="1:2" x14ac:dyDescent="0.25">
      <c r="A20" t="s">
        <v>70</v>
      </c>
      <c r="B20" s="18">
        <f>Forecast!B17+B19</f>
        <v>94482317411.95702</v>
      </c>
    </row>
    <row r="21" spans="1:2" x14ac:dyDescent="0.25">
      <c r="A21" t="s">
        <v>71</v>
      </c>
      <c r="B21" s="18">
        <f>-Assumptions!B30</f>
        <v>171100000</v>
      </c>
    </row>
    <row r="22" spans="1:2" x14ac:dyDescent="0.25">
      <c r="A22" t="s">
        <v>72</v>
      </c>
      <c r="B22" s="18">
        <f>B20+B21</f>
        <v>94653417411.95702</v>
      </c>
    </row>
    <row r="23" spans="1:2" x14ac:dyDescent="0.25">
      <c r="A23" s="19" t="s">
        <v>73</v>
      </c>
      <c r="B23" s="25">
        <f>B22/Assumptions!B31</f>
        <v>610.2734842808318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87.58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292.79778902024054</v>
      </c>
    </row>
    <row r="29" spans="1:2" x14ac:dyDescent="0.25">
      <c r="A29" s="19" t="s">
        <v>81</v>
      </c>
      <c r="B29" s="11">
        <f>B28/B26-1</f>
        <v>2.343203802469063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0.081658</v>
      </c>
      <c r="B5" s="31">
        <v>408.4193328024119</v>
      </c>
      <c r="C5" s="31">
        <v>414.2069806936706</v>
      </c>
      <c r="D5" s="31">
        <v>421.59138488760374</v>
      </c>
      <c r="E5" s="31">
        <v>431.03619756858035</v>
      </c>
      <c r="F5" s="31">
        <v>443.20381590976774</v>
      </c>
    </row>
    <row r="6" spans="1:6" x14ac:dyDescent="0.25">
      <c r="A6" s="30">
        <v>0.091658</v>
      </c>
      <c r="B6" s="31">
        <v>343.3865827760384</v>
      </c>
      <c r="C6" s="31">
        <v>344.9372095120543</v>
      </c>
      <c r="D6" s="31">
        <v>347.18079299217044</v>
      </c>
      <c r="E6" s="31">
        <v>350.2859139546773</v>
      </c>
      <c r="F6" s="31">
        <v>354.4806613232195</v>
      </c>
    </row>
    <row r="7" spans="1:6" x14ac:dyDescent="0.25">
      <c r="A7" s="30">
        <v>0.101658</v>
      </c>
      <c r="B7" s="31">
        <v>294.0212890074248</v>
      </c>
      <c r="C7" s="31">
        <v>293.26983326328843</v>
      </c>
      <c r="D7" s="32">
        <v>292.7975084967182</v>
      </c>
      <c r="E7" s="31">
        <v>292.6627445363933</v>
      </c>
      <c r="F7" s="31">
        <v>292.94150243865613</v>
      </c>
    </row>
    <row r="8" spans="1:6" x14ac:dyDescent="0.25">
      <c r="A8" s="30">
        <v>0.111658</v>
      </c>
      <c r="B8" s="31">
        <v>255.4173162146243</v>
      </c>
      <c r="C8" s="31">
        <v>253.40197597356274</v>
      </c>
      <c r="D8" s="31">
        <v>251.46868450492008</v>
      </c>
      <c r="E8" s="31">
        <v>249.63251359084006</v>
      </c>
      <c r="F8" s="31">
        <v>247.9124672272322</v>
      </c>
    </row>
    <row r="9" spans="1:6" x14ac:dyDescent="0.25">
      <c r="A9" s="30">
        <v>0.121658</v>
      </c>
      <c r="B9" s="31">
        <v>224.93379159136828</v>
      </c>
      <c r="C9" s="31">
        <v>222.3998691695255</v>
      </c>
      <c r="D9" s="31">
        <v>219.86594674768276</v>
      </c>
      <c r="E9" s="31">
        <v>217.33202432584</v>
      </c>
      <c r="F9" s="31">
        <v>214.79810190399726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4086900000</v>
      </c>
      <c r="C5" s="18">
        <v>4178000000</v>
      </c>
      <c r="D5" s="18">
        <v>4772400000</v>
      </c>
      <c r="E5" s="18">
        <v>5485500000</v>
      </c>
      <c r="F5" s="6" t="s">
        <v>91</v>
      </c>
    </row>
    <row r="6" spans="1:6" x14ac:dyDescent="0.25">
      <c r="A6" t="s">
        <v>51</v>
      </c>
      <c r="B6" s="18">
        <v>524200000</v>
      </c>
      <c r="C6" s="18">
        <v>787400000</v>
      </c>
      <c r="D6" s="18">
        <v>1153300000</v>
      </c>
      <c r="E6" s="18">
        <v>1557700000</v>
      </c>
      <c r="F6" s="6" t="s">
        <v>92</v>
      </c>
    </row>
    <row r="7" spans="1:6" x14ac:dyDescent="0.25">
      <c r="A7" t="s">
        <v>93</v>
      </c>
      <c r="B7" s="18">
        <v>463000000</v>
      </c>
      <c r="C7" s="18">
        <v>451300000</v>
      </c>
      <c r="D7" s="18">
        <v>613700000</v>
      </c>
      <c r="E7" s="18">
        <v>690100000</v>
      </c>
      <c r="F7" s="6" t="s">
        <v>94</v>
      </c>
    </row>
    <row r="8" spans="1:6" x14ac:dyDescent="0.25">
      <c r="A8" t="s">
        <v>95</v>
      </c>
      <c r="B8" s="18">
        <v>224900000</v>
      </c>
      <c r="C8" s="18">
        <v>183100000</v>
      </c>
      <c r="D8" s="18">
        <v>236100000</v>
      </c>
      <c r="E8" s="18">
        <v>509700000</v>
      </c>
      <c r="F8" s="6" t="s">
        <v>96</v>
      </c>
    </row>
    <row r="9" spans="1:6" x14ac:dyDescent="0.25">
      <c r="A9" t="s">
        <v>97</v>
      </c>
      <c r="B9" s="18">
        <v>-193200000</v>
      </c>
      <c r="C9" s="18">
        <v>-563900000</v>
      </c>
      <c r="D9" s="18">
        <v>-161000000</v>
      </c>
      <c r="E9" s="18">
        <v>827500000</v>
      </c>
      <c r="F9" s="6" t="s">
        <v>98</v>
      </c>
    </row>
    <row r="10" spans="1:6" x14ac:dyDescent="0.25">
      <c r="A10" t="s">
        <v>99</v>
      </c>
      <c r="B10" s="18">
        <v>1203100000</v>
      </c>
      <c r="C10" s="18">
        <v>1200400000</v>
      </c>
      <c r="D10" s="18">
        <v>1509300000</v>
      </c>
      <c r="E10" s="18">
        <v>2414500000</v>
      </c>
      <c r="F10" s="6" t="s">
        <v>100</v>
      </c>
    </row>
    <row r="11" spans="1:6" x14ac:dyDescent="0.25">
      <c r="A11" t="s">
        <v>101</v>
      </c>
      <c r="B11" s="18">
        <v>1374200000</v>
      </c>
      <c r="C11" s="18">
        <v>1562700000</v>
      </c>
      <c r="D11" s="18">
        <v>734400000</v>
      </c>
      <c r="E11" s="18">
        <v>586300000</v>
      </c>
      <c r="F11" s="6" t="s">
        <v>102</v>
      </c>
    </row>
    <row r="12" spans="1:6" x14ac:dyDescent="0.25">
      <c r="A12" t="s">
        <v>34</v>
      </c>
      <c r="B12" s="34">
        <v>155100000</v>
      </c>
      <c r="C12" s="34">
        <v>161500000</v>
      </c>
      <c r="D12" s="34">
        <v>160300000</v>
      </c>
      <c r="E12" s="34">
        <v>163300000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