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<sst xmlns="http://schemas.openxmlformats.org/spreadsheetml/2006/main" count="112" uniqueCount="100">
  <si>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Symrise AG (SY1.DE)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</si>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</sst>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0.021946954631233417</v>
      </c>
    </row>
    <row r="7" spans="1:2" x14ac:dyDescent="0.25">
      <c r="A7" t="s">
        <v>5</v>
      </c>
      <c r="B7" s="6">
        <v>0.1260611924695371</v>
      </c>
    </row>
    <row r="8" spans="1:2" x14ac:dyDescent="0.25">
      <c r="A8" t="s">
        <v>6</v>
      </c>
      <c r="B8" s="6">
        <v>0.29190584298115657</v>
      </c>
    </row>
    <row r="9" spans="1:2" x14ac:dyDescent="0.25">
      <c r="A9" t="s">
        <v>7</v>
      </c>
      <c r="B9" s="6">
        <v>0.062249179231936534</v>
      </c>
    </row>
    <row r="10" spans="1:2" x14ac:dyDescent="0.25">
      <c r="A10" t="s">
        <v>8</v>
      </c>
      <c r="B10" s="6">
        <v>0.05068840460988067</v>
      </c>
    </row>
    <row r="11" spans="1:2" x14ac:dyDescent="0.25">
      <c r="A11" t="s">
        <v>9</v>
      </c>
      <c r="B11" s="6">
        <v>0.01567868935548549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15.048117764041105</v>
      </c>
    </row>
    <row r="14" spans="1:3" x14ac:dyDescent="0.25">
      <c r="A14" t="s">
        <v>12</v>
      </c>
      <c r="B14" s="6">
        <v>0.06927684550737062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0.7212799999999999</v>
      </c>
      <c r="C19" s="8" t="s">
        <v>19</v>
      </c>
    </row>
    <row r="20" spans="1:2" x14ac:dyDescent="0.25">
      <c r="A20" t="s">
        <v>20</v>
      </c>
      <c r="B20" s="10">
        <f>B17+B19*B18</f>
        <v>0.06927679999999999</v>
      </c>
    </row>
    <row r="21" spans="1:3" x14ac:dyDescent="0.25">
      <c r="A21" t="s">
        <v>21</v>
      </c>
      <c r="B21" s="6">
        <v>0.030476735855924364</v>
      </c>
      <c r="C21" s="8" t="s">
        <v>22</v>
      </c>
    </row>
    <row r="22" spans="1:2" x14ac:dyDescent="0.25">
      <c r="A22" t="s">
        <v>23</v>
      </c>
      <c r="B22" s="11">
        <v>12211778560</v>
      </c>
    </row>
    <row r="23" spans="1:2" x14ac:dyDescent="0.25">
      <c r="A23" t="s">
        <v>24</v>
      </c>
      <c r="B23" s="11">
        <v>2630164000</v>
      </c>
    </row>
    <row r="24" spans="1:2" x14ac:dyDescent="0.25">
      <c r="A24" t="s">
        <v>25</v>
      </c>
      <c r="B24" s="10">
        <f>B22/(B22+B23)</f>
        <v>0.8227884261532946</v>
      </c>
    </row>
    <row r="25" spans="1:2" x14ac:dyDescent="0.25">
      <c r="A25" t="s">
        <v>26</v>
      </c>
      <c r="B25" s="10">
        <f>1-B24</f>
        <v>0.17721157384670538</v>
      </c>
    </row>
    <row r="26" spans="1:2" x14ac:dyDescent="0.25">
      <c r="A26" t="s">
        <v>27</v>
      </c>
      <c r="B26" s="12">
        <f>B24*B20+B25*B21*(1-B8)</f>
        <v>0.06082444563835038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4929283000</v>
      </c>
      <c r="C29" s="8" t="s">
        <v>30</v>
      </c>
    </row>
    <row r="30" spans="1:2" x14ac:dyDescent="0.25">
      <c r="A30" t="s">
        <v>31</v>
      </c>
      <c r="B30" s="11">
        <v>1620361000</v>
      </c>
    </row>
    <row r="31" spans="1:2" x14ac:dyDescent="0.25">
      <c r="A31" t="s">
        <v>32</v>
      </c>
      <c r="B31" s="13">
        <v>139772054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0.021946954631233417</v>
      </c>
      <c r="C5" s="10">
        <f>Assumptions!B6</f>
        <v>0.021946954631233417</v>
      </c>
      <c r="D5" s="10">
        <f>Assumptions!B6</f>
        <v>0.021946954631233417</v>
      </c>
      <c r="E5" s="10">
        <f>Assumptions!B6</f>
        <v>0.021946954631233417</v>
      </c>
      <c r="F5" s="10">
        <f>Assumptions!B6</f>
        <v>0.021946954631233417</v>
      </c>
    </row>
    <row r="6" spans="1:6" x14ac:dyDescent="0.25">
      <c r="A6" t="s">
        <v>43</v>
      </c>
      <c r="B6" s="18">
        <f>Assumptions!B29*(1+B5)</f>
        <v>5037465750.36551</v>
      </c>
      <c r="C6" s="18">
        <f>B6*(1+C5)</f>
        <v>5148022782.645174</v>
      </c>
      <c r="D6" s="18">
        <f>C6*(1+D5)</f>
        <v>5261006205.096444</v>
      </c>
      <c r="E6" s="18">
        <f>D6*(1+E5)</f>
        <v>5376469269.594334</v>
      </c>
      <c r="F6" s="18">
        <f>E6*(1+F5)</f>
        <v>5494466396.730341</v>
      </c>
    </row>
    <row r="7" spans="1:6" x14ac:dyDescent="0.25">
      <c r="A7" t="s">
        <v>5</v>
      </c>
      <c r="B7" s="10">
        <f>Assumptions!B7</f>
        <v>0.1260611924695371</v>
      </c>
      <c r="C7" s="10">
        <f>Assumptions!B7</f>
        <v>0.1260611924695371</v>
      </c>
      <c r="D7" s="10">
        <f>Assumptions!B7</f>
        <v>0.1260611924695371</v>
      </c>
      <c r="E7" s="10">
        <f>Assumptions!B7</f>
        <v>0.1260611924695371</v>
      </c>
      <c r="F7" s="10">
        <f>Assumptions!B7</f>
        <v>0.1260611924695371</v>
      </c>
    </row>
    <row r="8" spans="1:6" x14ac:dyDescent="0.25">
      <c r="A8" t="s">
        <v>44</v>
      </c>
      <c r="B8" s="18">
        <f>B6*B7</f>
        <v>635028939.5155276</v>
      </c>
      <c r="C8" s="18">
        <f>C6*C7</f>
        <v>648965890.8405952</v>
      </c>
      <c r="D8" s="18">
        <f>D6*D7</f>
        <v>663208715.8040918</v>
      </c>
      <c r="E8" s="18">
        <f>E6*E7</f>
        <v>677764127.4008828</v>
      </c>
      <c r="F8" s="18">
        <f>F6*F7</f>
        <v>692638985.9556274</v>
      </c>
    </row>
    <row r="9" spans="1:6" x14ac:dyDescent="0.25">
      <c r="A9" t="s">
        <v>45</v>
      </c>
      <c r="B9" s="18">
        <f>B8*(1-Assumptions!B8)</f>
        <v>449660281.60881764</v>
      </c>
      <c r="C9" s="18">
        <f>C8*(1-Assumptions!B8)</f>
        <v>459528955.4087541</v>
      </c>
      <c r="D9" s="18">
        <f>D8*(1-Assumptions!B8)</f>
        <v>469614216.54484814</v>
      </c>
      <c r="E9" s="18">
        <f>E8*(1-Assumptions!B8)</f>
        <v>479920818.4495402</v>
      </c>
      <c r="F9" s="18">
        <f>F8*(1-Assumptions!B8)</f>
        <v>490453618.8786366</v>
      </c>
    </row>
    <row r="10" spans="1:6" x14ac:dyDescent="0.25">
      <c r="A10" t="s">
        <v>46</v>
      </c>
      <c r="B10" s="18">
        <f>B6*Assumptions!B9</f>
        <v>313578108.3692443</v>
      </c>
      <c r="C10" s="18">
        <f>C6*Assumptions!B9</f>
        <v>320460192.88697207</v>
      </c>
      <c r="D10" s="18">
        <f>D6*Assumptions!B9</f>
        <v>327493318.2013788</v>
      </c>
      <c r="E10" s="18">
        <f>E6*Assumptions!B9</f>
        <v>334680799.1979766</v>
      </c>
      <c r="F10" s="18">
        <f>F6*Assumptions!B9</f>
        <v>342026023.5139195</v>
      </c>
    </row>
    <row r="11" spans="1:6" x14ac:dyDescent="0.25">
      <c r="A11" t="s">
        <v>47</v>
      </c>
      <c r="B11" s="18">
        <f>-B6*Assumptions!B10</f>
        <v>-255341102.16294312</v>
      </c>
      <c r="C11" s="18">
        <f>-C6*Assumptions!B10</f>
        <v>-260945061.74760237</v>
      </c>
      <c r="D11" s="18">
        <f>-D6*Assumptions!B10</f>
        <v>-266672011.17902142</v>
      </c>
      <c r="E11" s="18">
        <f>-E6*Assumptions!B10</f>
        <v>-272524649.7097872</v>
      </c>
      <c r="F11" s="18">
        <f>-F6*Assumptions!B10</f>
        <v>-278505735.83286065</v>
      </c>
    </row>
    <row r="12" spans="1:6" x14ac:dyDescent="0.25">
      <c r="A12" t="s">
        <v>48</v>
      </c>
      <c r="B12" s="18">
        <f>-(B6-Assumptions!B29)*Assumptions!B11</f>
        <v>-1696163.7366028656</v>
      </c>
      <c r="C12" s="18">
        <f>-(C6-B6)*Assumptions!B11</f>
        <v>-1733389.3651772344</v>
      </c>
      <c r="D12" s="18">
        <f>-(D6-C6)*Assumptions!B11</f>
        <v>-1771431.982933049</v>
      </c>
      <c r="E12" s="18">
        <f>-(E6-D6)*Assumptions!B11</f>
        <v>-1810309.520294795</v>
      </c>
      <c r="F12" s="18">
        <f>-(F6-E6)*Assumptions!B11</f>
        <v>-1850040.301205186</v>
      </c>
    </row>
    <row r="13" spans="1:6" x14ac:dyDescent="0.25">
      <c r="A13" s="19" t="s">
        <v>49</v>
      </c>
      <c r="B13" s="20">
        <f>B9+B10+B11+B12</f>
        <v>506201124.07851595</v>
      </c>
      <c r="C13" s="20">
        <f>C9+C10+C11+C12</f>
        <v>517310697.1829466</v>
      </c>
      <c r="D13" s="20">
        <f>D9+D10+D11+D12</f>
        <v>528664091.58427256</v>
      </c>
      <c r="E13" s="20">
        <f>E9+E10+E11+E12</f>
        <v>540266658.4174348</v>
      </c>
      <c r="F13" s="20">
        <f>F9+F10+F11+F12</f>
        <v>552123866.2584903</v>
      </c>
    </row>
    <row r="14" spans="1:6" x14ac:dyDescent="0.25">
      <c r="A14" t="s">
        <v>50</v>
      </c>
      <c r="B14" s="21">
        <f>1/(1+Assumptions!$B$26)^(1-0.5*Assumptions!$B$32)</f>
        <v>0.9709083597263857</v>
      </c>
      <c r="C14" s="21">
        <f>1/(1+Assumptions!$B$26)^(2-0.5*Assumptions!$B$32)</f>
        <v>0.9152394288407845</v>
      </c>
      <c r="D14" s="21">
        <f>1/(1+Assumptions!$B$26)^(3-0.5*Assumptions!$B$32)</f>
        <v>0.862762385052354</v>
      </c>
      <c r="E14" s="21">
        <f>1/(1+Assumptions!$B$26)^(4-0.5*Assumptions!$B$32)</f>
        <v>0.8132942152678121</v>
      </c>
      <c r="F14" s="21">
        <f>1/(1+Assumptions!$B$26)^(5-0.5*Assumptions!$B$32)</f>
        <v>0.766662399807739</v>
      </c>
    </row>
    <row r="15" spans="1:6" x14ac:dyDescent="0.25">
      <c r="A15" s="19" t="s">
        <v>51</v>
      </c>
      <c r="B15" s="20">
        <f>B13*B14</f>
        <v>491474903.07072455</v>
      </c>
      <c r="C15" s="20">
        <f>C13*C14</f>
        <v>473463147.0229481</v>
      </c>
      <c r="D15" s="20">
        <f>D13*D14</f>
        <v>456111492.54678315</v>
      </c>
      <c r="E15" s="20">
        <f>E13*E14</f>
        <v>439395747.9929707</v>
      </c>
      <c r="F15" s="20">
        <f>F13*F14</f>
        <v>423292608.2968613</v>
      </c>
    </row>
    <row r="17" spans="1:2" x14ac:dyDescent="0.25">
      <c r="A17" s="22" t="s">
        <v>52</v>
      </c>
      <c r="B17" s="23">
        <f>SUM(B15:F15)</f>
        <v>2283737898.930288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552123866.2584903</v>
      </c>
    </row>
    <row r="5" spans="1:2" x14ac:dyDescent="0.25">
      <c r="A5" t="s">
        <v>56</v>
      </c>
      <c r="B5" s="18">
        <f>IF(Assumptions!$B$33=0,B4,B4-Forecast!F11-Forecast!F10-Forecast!F12)</f>
        <v>517157667.09309477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0.3608709348254051</v>
      </c>
    </row>
    <row r="7" spans="1:2" x14ac:dyDescent="0.25">
      <c r="A7" t="s">
        <v>58</v>
      </c>
      <c r="B7" s="18">
        <f>-MAX(Forecast!F9,0)*B6</f>
        <v>-186627170.77601075</v>
      </c>
    </row>
    <row r="8" spans="1:2" x14ac:dyDescent="0.25">
      <c r="A8" t="s">
        <v>59</v>
      </c>
      <c r="B8" s="18">
        <f>IF(OR(Assumptions!$B$33=0,Assumptions!B12&lt;=0),B5,MAX(B5+B7,0))</f>
        <v>330530496.317084</v>
      </c>
    </row>
    <row r="9" spans="1:2" x14ac:dyDescent="0.25">
      <c r="A9" t="s">
        <v>60</v>
      </c>
      <c r="B9" s="18">
        <f>B8*(1+Assumptions!B12)/(Assumptions!B26-Assumptions!B12)</f>
        <v>9457055166.886644</v>
      </c>
    </row>
    <row r="10" spans="1:2" x14ac:dyDescent="0.25">
      <c r="A10" t="s">
        <v>61</v>
      </c>
      <c r="B10" s="18">
        <f>B9/(1+Assumptions!B26)^(5-0.5*Assumptions!B32)</f>
        <v>7250368609.359492</v>
      </c>
    </row>
    <row r="11" spans="1:2" x14ac:dyDescent="0.25">
      <c r="A11" t="s">
        <v>62</v>
      </c>
      <c r="B11" s="18">
        <f>Forecast!B17+B10</f>
        <v>9534106508.28978</v>
      </c>
    </row>
    <row r="12" spans="1:2" x14ac:dyDescent="0.25">
      <c r="A12" t="s">
        <v>63</v>
      </c>
      <c r="B12" s="18">
        <f>-Assumptions!B30</f>
        <v>-1620361000</v>
      </c>
    </row>
    <row r="13" spans="1:2" x14ac:dyDescent="0.25">
      <c r="A13" t="s">
        <v>64</v>
      </c>
      <c r="B13" s="18">
        <f>B11+B12</f>
        <v>7913745508.28978</v>
      </c>
    </row>
    <row r="14" spans="1:2" x14ac:dyDescent="0.25">
      <c r="A14" s="19" t="s">
        <v>65</v>
      </c>
      <c r="B14" s="24">
        <f>B13/Assumptions!B31</f>
        <v>56.61893977954835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1034665009.4695469</v>
      </c>
    </row>
    <row r="18" spans="1:2" x14ac:dyDescent="0.25">
      <c r="A18" t="s">
        <v>60</v>
      </c>
      <c r="B18" s="18">
        <f>B17*Assumptions!B13</f>
        <v>15569760908.830448</v>
      </c>
    </row>
    <row r="19" spans="1:2" x14ac:dyDescent="0.25">
      <c r="A19" t="s">
        <v>61</v>
      </c>
      <c r="B19" s="18">
        <f>B18/(1+Assumptions!B26)^(5-0.5*Assumptions!B32)</f>
        <v>11936750262.796675</v>
      </c>
    </row>
    <row r="20" spans="1:2" x14ac:dyDescent="0.25">
      <c r="A20" t="s">
        <v>62</v>
      </c>
      <c r="B20" s="18">
        <f>Forecast!B17+B19</f>
        <v>14220488161.726963</v>
      </c>
    </row>
    <row r="21" spans="1:2" x14ac:dyDescent="0.25">
      <c r="A21" t="s">
        <v>63</v>
      </c>
      <c r="B21" s="18">
        <f>-Assumptions!B30</f>
        <v>-1620361000</v>
      </c>
    </row>
    <row r="22" spans="1:2" x14ac:dyDescent="0.25">
      <c r="A22" t="s">
        <v>64</v>
      </c>
      <c r="B22" s="18">
        <f>B20+B21</f>
        <v>12600127161.726963</v>
      </c>
    </row>
    <row r="23" spans="1:2" x14ac:dyDescent="0.25">
      <c r="A23" s="19" t="s">
        <v>65</v>
      </c>
      <c r="B23" s="25">
        <f>B22/Assumptions!B31</f>
        <v>90.1476854717107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89.02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56.61893977954835</v>
      </c>
    </row>
    <row r="29" spans="1:2" x14ac:dyDescent="0.25">
      <c r="A29" s="19" t="s">
        <v>73</v>
      </c>
      <c r="B29" s="12">
        <f>B28/B26-1</f>
        <v>-0.36397506426029713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0.040824</v>
      </c>
      <c r="B5" s="31">
        <v>100.68852176928608</v>
      </c>
      <c r="C5" s="31">
        <v>113.19449487968679</v>
      </c>
      <c r="D5" s="31">
        <v>133.4626843041343</v>
      </c>
      <c r="E5" s="31">
        <v>172.25004169734973</v>
      </c>
      <c r="F5" s="31">
        <v>277.2535999459265</v>
      </c>
    </row>
    <row r="6" spans="1:6" x14ac:dyDescent="0.25">
      <c r="A6" s="30">
        <v>0.050824</v>
      </c>
      <c r="B6" s="31">
        <v>70.83803478659183</v>
      </c>
      <c r="C6" s="31">
        <v>74.80339827809286</v>
      </c>
      <c r="D6" s="31">
        <v>80.22156347161892</v>
      </c>
      <c r="E6" s="31">
        <v>88.13901641837904</v>
      </c>
      <c r="F6" s="31">
        <v>100.92489995826912</v>
      </c>
    </row>
    <row r="7" spans="1:6" x14ac:dyDescent="0.25">
      <c r="A7" s="30">
        <v>0.060824</v>
      </c>
      <c r="B7" s="31">
        <v>53.97357876784491</v>
      </c>
      <c r="C7" s="31">
        <v>55.159669995021034</v>
      </c>
      <c r="D7" s="32">
        <v>56.619699768063334</v>
      </c>
      <c r="E7" s="31">
        <v>58.48697584028071</v>
      </c>
      <c r="F7" s="31">
        <v>60.99804926835011</v>
      </c>
    </row>
    <row r="8" spans="1:6" x14ac:dyDescent="0.25">
      <c r="A8" s="30">
        <v>0.070824</v>
      </c>
      <c r="B8" s="31">
        <v>43.352307562115534</v>
      </c>
      <c r="C8" s="31">
        <v>43.54428966307227</v>
      </c>
      <c r="D8" s="31">
        <v>43.736271764028984</v>
      </c>
      <c r="E8" s="31">
        <v>43.928253864985706</v>
      </c>
      <c r="F8" s="31">
        <v>44.120235965942435</v>
      </c>
    </row>
    <row r="9" spans="1:6" x14ac:dyDescent="0.25">
      <c r="A9" s="30">
        <v>0.080824</v>
      </c>
      <c r="B9" s="31">
        <v>36.779412738288194</v>
      </c>
      <c r="C9" s="31">
        <v>36.94075007214139</v>
      </c>
      <c r="D9" s="31">
        <v>37.10208740599459</v>
      </c>
      <c r="E9" s="31">
        <v>37.263424739847785</v>
      </c>
      <c r="F9" s="31">
        <v>37.42476207370097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4929283000</v>
      </c>
      <c r="C5" s="18">
        <v>4998513000</v>
      </c>
      <c r="D5" s="18">
        <v>4730187000</v>
      </c>
      <c r="E5" s="18">
        <v>4618476000</v>
      </c>
      <c r="F5" s="8" t="s">
        <v>84</v>
      </c>
    </row>
    <row r="6" spans="1:6" x14ac:dyDescent="0.25">
      <c r="A6" t="s">
        <v>44</v>
      </c>
      <c r="B6" s="18">
        <v>618061000</v>
      </c>
      <c r="C6" s="18">
        <v>711961000</v>
      </c>
      <c r="D6" s="18">
        <v>535831000</v>
      </c>
      <c r="E6" s="18">
        <v>568745000</v>
      </c>
      <c r="F6" s="8" t="s">
        <v>85</v>
      </c>
    </row>
    <row r="7" spans="1:6" x14ac:dyDescent="0.25">
      <c r="A7" t="s">
        <v>86</v>
      </c>
      <c r="B7" s="18">
        <v>301133000</v>
      </c>
      <c r="C7" s="18">
        <v>316011000</v>
      </c>
      <c r="D7" s="18">
        <v>292291000</v>
      </c>
      <c r="E7" s="18">
        <v>290467000</v>
      </c>
      <c r="F7" s="8" t="s">
        <v>87</v>
      </c>
    </row>
    <row r="8" spans="1:6" x14ac:dyDescent="0.25">
      <c r="A8" t="s">
        <v>88</v>
      </c>
      <c r="B8" s="18">
        <v>211367000</v>
      </c>
      <c r="C8" s="18">
        <v>242847000</v>
      </c>
      <c r="D8" s="18">
        <v>270202000</v>
      </c>
      <c r="E8" s="18">
        <v>250169000</v>
      </c>
      <c r="F8" s="8" t="s">
        <v>89</v>
      </c>
    </row>
    <row r="9" spans="1:6" x14ac:dyDescent="0.25">
      <c r="A9" t="s">
        <v>90</v>
      </c>
      <c r="B9" s="18">
        <v>20676000</v>
      </c>
      <c r="C9" s="18">
        <v>4207000</v>
      </c>
      <c r="D9" s="18">
        <v>10560000</v>
      </c>
      <c r="E9" s="18">
        <v>339271000</v>
      </c>
      <c r="F9" s="8" t="s">
        <v>91</v>
      </c>
    </row>
    <row r="10" spans="1:6" x14ac:dyDescent="0.25">
      <c r="A10" t="s">
        <v>92</v>
      </c>
      <c r="B10" s="18">
        <v>2630164000</v>
      </c>
      <c r="C10" s="18">
        <v>2545784000</v>
      </c>
      <c r="D10" s="18">
        <v>2558672000</v>
      </c>
      <c r="E10" s="18">
        <v>2547415000</v>
      </c>
      <c r="F10" s="8" t="s">
        <v>93</v>
      </c>
    </row>
    <row r="11" spans="1:6" x14ac:dyDescent="0.25">
      <c r="A11" t="s">
        <v>94</v>
      </c>
      <c r="B11" s="18">
        <v>1009803000</v>
      </c>
      <c r="C11" s="18">
        <v>709492000</v>
      </c>
      <c r="D11" s="18">
        <v>393026000</v>
      </c>
      <c r="E11" s="18">
        <v>314857000</v>
      </c>
      <c r="F11" s="8" t="s">
        <v>95</v>
      </c>
    </row>
    <row r="12" spans="1:6" x14ac:dyDescent="0.25">
      <c r="A12" t="s">
        <v>32</v>
      </c>
      <c r="B12" s="34">
        <v>139772054</v>
      </c>
      <c r="C12" s="34">
        <v>139772054</v>
      </c>
      <c r="D12" s="34">
        <v>139772054</v>
      </c>
      <c r="E12" s="34">
        <v>139772054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2026-09-19T00:08:41Z</dcterms:modified>
</cp:coreProperties>
</file>