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<sst xmlns="http://schemas.openxmlformats.org/spreadsheetml/2006/main" count="70" uniqueCount="67">
  <si>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Synchrony Financial (SYF)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</si>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</sst>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1.2271299999999998</v>
      </c>
    </row>
    <row r="9" spans="1:2" x14ac:dyDescent="0.25">
      <c r="A9" t="s">
        <v>8</v>
      </c>
      <c r="B9" s="8">
        <f>B6+B8*B7</f>
        <v>0.100847599</v>
      </c>
    </row>
    <row r="10" spans="1:2" x14ac:dyDescent="0.25">
      <c r="A10" t="s">
        <v>9</v>
      </c>
      <c r="B10" s="8">
        <f>MEDIAN('Source data'!B9:E9)</f>
        <v>0.2258757650735773</v>
      </c>
    </row>
    <row r="11" spans="1:2" x14ac:dyDescent="0.25">
      <c r="A11" t="s">
        <v>10</v>
      </c>
      <c r="B11" s="8">
        <f>IFERROR(MIN(MAX(MEDIAN('Source data'!B10:E10),0),1),0)</f>
        <v>0.14701643124819833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15544000000</v>
      </c>
    </row>
    <row r="15" spans="1:2" x14ac:dyDescent="0.25">
      <c r="A15" t="s">
        <v>14</v>
      </c>
      <c r="B15" s="10">
        <f>'Source data'!B8</f>
        <v>373898504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0.19266831618700353</v>
      </c>
    </row>
    <row r="18" spans="1:2" x14ac:dyDescent="0.25">
      <c r="A18" t="s">
        <v>17</v>
      </c>
      <c r="B18" s="8">
        <f>MIN(B10,B12)</f>
        <v>0.2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0.22328818856621957</v>
      </c>
      <c r="C22" s="8">
        <f>$B$10+($B$18-$B$10)*C21/$B$16</f>
        <v>0.22070061205886182</v>
      </c>
      <c r="D22" s="8">
        <f>$B$10+($B$18-$B$10)*D21/$B$16</f>
        <v>0.2181130355515041</v>
      </c>
      <c r="E22" s="8">
        <f>$B$10+($B$18-$B$10)*E21/$B$16</f>
        <v>0.21552545904414638</v>
      </c>
      <c r="F22" s="8">
        <f>$B$10+($B$18-$B$10)*F21/$B$16</f>
        <v>0.21293788253678864</v>
      </c>
      <c r="G22" s="8">
        <f>$B$10+($B$18-$B$10)*G21/$B$16</f>
        <v>0.21035030602943092</v>
      </c>
      <c r="H22" s="8">
        <f>$B$10+($B$18-$B$10)*H21/$B$16</f>
        <v>0.2077627295220732</v>
      </c>
      <c r="I22" s="8">
        <f>$B$10+($B$18-$B$10)*I21/$B$16</f>
        <v>0.20517515301471545</v>
      </c>
      <c r="J22" s="8">
        <f>$B$10+($B$18-$B$10)*J21/$B$16</f>
        <v>0.20258757650735773</v>
      </c>
      <c r="K22" s="8">
        <f>$B$10+($B$18-$B$10)*K21/$B$16</f>
        <v>0.2</v>
      </c>
    </row>
    <row r="23" spans="1:11" x14ac:dyDescent="0.25">
      <c r="A23" t="s">
        <v>31</v>
      </c>
      <c r="B23" s="8">
        <f>$B$17+($B$13-$B$17)*B21/$B$16</f>
        <v>0.17590148456830318</v>
      </c>
      <c r="C23" s="8">
        <f>$B$17+($B$13-$B$17)*C21/$B$16</f>
        <v>0.15913465294960283</v>
      </c>
      <c r="D23" s="8">
        <f>$B$17+($B$13-$B$17)*D21/$B$16</f>
        <v>0.14236782133090248</v>
      </c>
      <c r="E23" s="8">
        <f>$B$17+($B$13-$B$17)*E21/$B$16</f>
        <v>0.12560098971220213</v>
      </c>
      <c r="F23" s="8">
        <f>$B$17+($B$13-$B$17)*F21/$B$16</f>
        <v>0.10883415809350176</v>
      </c>
      <c r="G23" s="8">
        <f>$B$17+($B$13-$B$17)*G21/$B$16</f>
        <v>0.09206732647480141</v>
      </c>
      <c r="H23" s="8">
        <f>$B$17+($B$13-$B$17)*H21/$B$16</f>
        <v>0.07530049485610106</v>
      </c>
      <c r="I23" s="8">
        <f>$B$17+($B$13-$B$17)*I21/$B$16</f>
        <v>0.058533663237400696</v>
      </c>
      <c r="J23" s="8">
        <f>$B$17+($B$13-$B$17)*J21/$B$16</f>
        <v>0.041766831618700345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15544000000</v>
      </c>
      <c r="C24" s="9">
        <f>B24*(1+B23)</f>
        <v>18278212676.129704</v>
      </c>
      <c r="D24" s="9">
        <f>C24*(1+C23)</f>
        <v>21186909706.884632</v>
      </c>
      <c r="E24" s="9">
        <f>D24*(1+D23)</f>
        <v>24203243882.58835</v>
      </c>
      <c r="F24" s="9">
        <f>E24*(1+E23)</f>
        <v>27243195268.487247</v>
      </c>
      <c r="G24" s="9">
        <f>F24*(1+F23)</f>
        <v>30208185489.309925</v>
      </c>
      <c r="H24" s="9">
        <f>G24*(1+G23)</f>
        <v>32989372364.965576</v>
      </c>
      <c r="I24" s="9">
        <f>H24*(1+H23)</f>
        <v>35473488429.03967</v>
      </c>
      <c r="J24" s="9">
        <f>I24*(1+I23)</f>
        <v>37549881654.600914</v>
      </c>
      <c r="K24" s="9">
        <f>J24*(1+J23)</f>
        <v>39118221238.97076</v>
      </c>
    </row>
    <row r="25" spans="1:11" x14ac:dyDescent="0.25">
      <c r="A25" t="s">
        <v>33</v>
      </c>
      <c r="B25" s="9">
        <f>(B22-$B$9)*B24</f>
        <v>1903216524.217317</v>
      </c>
      <c r="C25" s="9">
        <f>(C22-$B$9)*C24</f>
        <v>2190698862.564827</v>
      </c>
      <c r="D25" s="9">
        <f>(D22-$B$9)*D24</f>
        <v>2484492215.9551263</v>
      </c>
      <c r="E25" s="9">
        <f>(E22-$B$9)*E24</f>
        <v>2775576214.581809</v>
      </c>
      <c r="F25" s="9">
        <f>(F22-$B$9)*F24</f>
        <v>3053697482.0928345</v>
      </c>
      <c r="G25" s="9">
        <f>(G22-$B$9)*G24</f>
        <v>3307878085.526611</v>
      </c>
      <c r="H25" s="9">
        <f>(H22-$B$9)*H24</f>
        <v>3527063052.241569</v>
      </c>
      <c r="I25" s="9">
        <f>(I22-$B$9)*I24</f>
        <v>3700862280.17102</v>
      </c>
      <c r="J25" s="9">
        <f>(J22-$B$9)*J24</f>
        <v>3820324114.943042</v>
      </c>
      <c r="K25" s="9">
        <f>(K22-$B$9)*K24</f>
        <v>3878665558.6931458</v>
      </c>
    </row>
    <row r="26" spans="1:11" x14ac:dyDescent="0.25">
      <c r="A26" t="s">
        <v>34</v>
      </c>
      <c r="B26" s="14">
        <f>1/(1+$B$9)^B21</f>
        <v>0.9083909533966291</v>
      </c>
      <c r="C26" s="14">
        <f>1/(1+$B$9)^C21</f>
        <v>0.8251741242128369</v>
      </c>
      <c r="D26" s="14">
        <f>1/(1+$B$9)^D21</f>
        <v>0.7495807094119273</v>
      </c>
      <c r="E26" s="14">
        <f>1/(1+$B$9)^E21</f>
        <v>0.6809123352704222</v>
      </c>
      <c r="F26" s="14">
        <f>1/(1+$B$9)^F21</f>
        <v>0.618534605415824</v>
      </c>
      <c r="G26" s="14">
        <f>1/(1+$B$9)^G21</f>
        <v>0.5618712399224881</v>
      </c>
      <c r="H26" s="14">
        <f>1/(1+$B$9)^H21</f>
        <v>0.5103987513193351</v>
      </c>
      <c r="I26" s="14">
        <f>1/(1+$B$9)^I21</f>
        <v>0.4636416083234199</v>
      </c>
      <c r="J26" s="14">
        <f>1/(1+$B$9)^J21</f>
        <v>0.4211678426192578</v>
      </c>
      <c r="K26" s="14">
        <f>1/(1+$B$9)^K21</f>
        <v>0.38258505809690907</v>
      </c>
    </row>
    <row r="27" spans="1:11" x14ac:dyDescent="0.25">
      <c r="A27" s="15" t="s">
        <v>35</v>
      </c>
      <c r="B27" s="16">
        <f>B25*B26</f>
        <v>1728864672.9539874</v>
      </c>
      <c r="C27" s="16">
        <f>C25*C26</f>
        <v>1807708015.330989</v>
      </c>
      <c r="D27" s="16">
        <f>D25*D26</f>
        <v>1862327437.7640548</v>
      </c>
      <c r="E27" s="16">
        <f>E25*E26</f>
        <v>1889924081.9919379</v>
      </c>
      <c r="F27" s="16">
        <f>F25*F26</f>
        <v>1888817567.1455865</v>
      </c>
      <c r="G27" s="16">
        <f>G25*G26</f>
        <v>1858601561.427263</v>
      </c>
      <c r="H27" s="16">
        <f>H25*H26</f>
        <v>1800208577.6886597</v>
      </c>
      <c r="I27" s="16">
        <f>I25*I26</f>
        <v>1715873739.7619705</v>
      </c>
      <c r="J27" s="16">
        <f>J25*J26</f>
        <v>1608997665.5968864</v>
      </c>
      <c r="K27" s="16">
        <f>K25*K26</f>
        <v>1483919488.1110973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15544000000</v>
      </c>
    </row>
    <row r="31" spans="1:2" x14ac:dyDescent="0.25">
      <c r="A31" t="s">
        <v>38</v>
      </c>
      <c r="B31" s="9">
        <f>SUM(B27:K27)</f>
        <v>17645242807.77243</v>
      </c>
    </row>
    <row r="32" spans="1:2" x14ac:dyDescent="0.25">
      <c r="A32" t="s">
        <v>39</v>
      </c>
      <c r="B32" s="9">
        <f>K24*(1+K23)</f>
        <v>40096176769.94502</v>
      </c>
    </row>
    <row r="33" spans="1:2" x14ac:dyDescent="0.25">
      <c r="A33" t="s">
        <v>40</v>
      </c>
      <c r="B33" s="9">
        <f>(B18-B9)*B32</f>
        <v>3975632197.6604743</v>
      </c>
    </row>
    <row r="34" spans="1:2" x14ac:dyDescent="0.25">
      <c r="A34" t="s">
        <v>41</v>
      </c>
      <c r="B34" s="9">
        <f>B33/(B9-B13)</f>
        <v>52416058650.195045</v>
      </c>
    </row>
    <row r="35" spans="1:2" x14ac:dyDescent="0.25">
      <c r="A35" t="s">
        <v>42</v>
      </c>
      <c r="B35" s="9">
        <f>B34*K26</f>
        <v>20053600843.895866</v>
      </c>
    </row>
    <row r="36" spans="1:2" x14ac:dyDescent="0.25">
      <c r="A36" s="15" t="s">
        <v>43</v>
      </c>
      <c r="B36" s="16">
        <f>B30+B31+B35</f>
        <v>53242843651.6683</v>
      </c>
    </row>
    <row r="37" spans="1:2" x14ac:dyDescent="0.25">
      <c r="A37" s="15" t="s">
        <v>44</v>
      </c>
      <c r="B37" s="17">
        <f>B36/B15</f>
        <v>142.3991887693359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75.35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142.3991887693359</v>
      </c>
    </row>
    <row r="43" spans="1:2" x14ac:dyDescent="0.25">
      <c r="A43" s="15" t="s">
        <v>48</v>
      </c>
      <c r="B43" s="21">
        <f>B42/B40-1</f>
        <v>0.8898366127317305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3469000000</v>
      </c>
      <c r="C5" s="9">
        <v>3427000000</v>
      </c>
      <c r="D5" s="9">
        <v>2196000000</v>
      </c>
      <c r="E5" s="9">
        <v>2974000000</v>
      </c>
      <c r="F5" s="6" t="s">
        <v>57</v>
      </c>
    </row>
    <row r="6" spans="1:6" x14ac:dyDescent="0.25">
      <c r="A6" t="s">
        <v>37</v>
      </c>
      <c r="B6" s="9">
        <v>15544000000</v>
      </c>
      <c r="C6" s="9">
        <v>15358000000</v>
      </c>
      <c r="D6" s="9">
        <v>13169000000</v>
      </c>
      <c r="E6" s="9">
        <v>12139000000</v>
      </c>
      <c r="F6" s="6" t="s">
        <v>58</v>
      </c>
    </row>
    <row r="7" spans="1:6" x14ac:dyDescent="0.25">
      <c r="A7" t="s">
        <v>59</v>
      </c>
      <c r="B7" s="9">
        <v>510000000</v>
      </c>
      <c r="C7" s="9">
        <v>470000000</v>
      </c>
      <c r="D7" s="9">
        <v>448000000</v>
      </c>
      <c r="E7" s="9">
        <v>476000000</v>
      </c>
      <c r="F7" s="6" t="s">
        <v>60</v>
      </c>
    </row>
    <row r="8" spans="1:6" x14ac:dyDescent="0.25">
      <c r="A8" t="s">
        <v>14</v>
      </c>
      <c r="B8" s="10">
        <v>373898504</v>
      </c>
      <c r="C8" s="10">
        <v>400598397</v>
      </c>
      <c r="D8" s="10">
        <v>423498306</v>
      </c>
      <c r="E8" s="10">
        <v>483398066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0.2258757650735773</v>
      </c>
      <c r="C9" s="8">
        <f>IF(AND(ISNUMBER(C5),N(D6)&gt;0),C5/D6,"")</f>
        <v>0.26023236388488113</v>
      </c>
      <c r="D9" s="8">
        <f>IF(AND(ISNUMBER(D5),N(E6)&gt;0),D5/E6,"")</f>
        <v>0.18090452261306533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0.14701643124819833</v>
      </c>
      <c r="C10" s="8">
        <f>IF(AND(ISNUMBER(C9),N(C5)&gt;0,ISNUMBER(C7)),C7/C5,"")</f>
        <v>0.1371461920046688</v>
      </c>
      <c r="D10" s="8">
        <f>IF(AND(ISNUMBER(D9),N(D5)&gt;0,ISNUMBER(D7)),D7/D5,"")</f>
        <v>0.2040072859744991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