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<sst xmlns="http://schemas.openxmlformats.org/spreadsheetml/2006/main" count="119" uniqueCount="106">
  <si>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Stryker Corporation (SYK)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</si>
  <si>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</si>
  <si>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</si>
  <si>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</si>
  <si>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</si>
  <si>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</si>
  <si>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</si>
  <si>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</si>
  <si>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</si>
  <si>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</si>
  <si>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</si>
  <si>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</si>
  <si>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</si>
  <si>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</si>
  <si>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</si>
  <si>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</si>
  <si>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</si>
  <si>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</si>
  <si>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</si>
  <si>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</si>
  <si>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</si>
  <si>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</si>
  <si>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</si>
  <si>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</si>
  <si>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8.3x interest cover. Book interest / average debt was lower, at 4.1%.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</si>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</sst>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0.06745961419015756</v>
      </c>
    </row>
    <row r="7" spans="1:2" x14ac:dyDescent="0.25">
      <c r="A7" t="s">
        <v>4</v>
      </c>
      <c r="B7" s="5">
        <v>0.1919978966897929</v>
      </c>
    </row>
    <row r="8" spans="1:2" x14ac:dyDescent="0.25">
      <c r="A8" t="s">
        <v>5</v>
      </c>
      <c r="B8" s="5">
        <v>0.1406023070429115</v>
      </c>
    </row>
    <row r="9" spans="1:2" x14ac:dyDescent="0.25">
      <c r="A9" t="s">
        <v>6</v>
      </c>
      <c r="B9" s="5">
        <v>0.04955409177095248</v>
      </c>
    </row>
    <row r="10" spans="1:3" x14ac:dyDescent="0.25">
      <c r="A10" t="s">
        <v>7</v>
      </c>
      <c r="B10" s="5">
        <v>0.030909261585859552</v>
      </c>
      <c r="C10" s="6" t="s">
        <v>8</v>
      </c>
    </row>
    <row r="11" spans="1:2" x14ac:dyDescent="0.25">
      <c r="A11" t="s">
        <v>9</v>
      </c>
      <c r="B11" s="5">
        <v>0.3233104829901887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19.652506850927704</v>
      </c>
    </row>
    <row r="14" spans="1:3" x14ac:dyDescent="0.25">
      <c r="A14" t="s">
        <v>12</v>
      </c>
      <c r="B14" s="5">
        <v>0.11016860784917343</v>
      </c>
      <c r="C14" s="6" t="s">
        <v>13</v>
      </c>
    </row>
    <row r="15" spans="1:3" x14ac:dyDescent="0.25">
      <c r="A15" t="s">
        <v>14</v>
      </c>
      <c r="B15" s="5">
        <v>0.019133728271698153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0.85327</v>
      </c>
      <c r="C19" s="6" t="s">
        <v>21</v>
      </c>
    </row>
    <row r="20" spans="1:2" x14ac:dyDescent="0.25">
      <c r="A20" t="s">
        <v>22</v>
      </c>
      <c r="B20" s="9">
        <f>B17+B19*B18</f>
        <v>0.085033321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111108472832</v>
      </c>
    </row>
    <row r="23" spans="1:2" x14ac:dyDescent="0.25">
      <c r="A23" t="s">
        <v>26</v>
      </c>
      <c r="B23" s="10">
        <v>15859000000</v>
      </c>
    </row>
    <row r="24" spans="1:2" x14ac:dyDescent="0.25">
      <c r="A24" t="s">
        <v>27</v>
      </c>
      <c r="B24" s="9">
        <f>B22/(B22+B23)</f>
        <v>0.8750939933963701</v>
      </c>
    </row>
    <row r="25" spans="1:2" x14ac:dyDescent="0.25">
      <c r="A25" t="s">
        <v>28</v>
      </c>
      <c r="B25" s="9">
        <f>1-B24</f>
        <v>0.12490600660362994</v>
      </c>
    </row>
    <row r="26" spans="1:2" x14ac:dyDescent="0.25">
      <c r="A26" t="s">
        <v>29</v>
      </c>
      <c r="B26" s="11">
        <f>B24*B20+B25*B21*(1-B8)</f>
        <v>0.08025595220779522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25116000000</v>
      </c>
      <c r="C29" s="6" t="s">
        <v>32</v>
      </c>
    </row>
    <row r="30" spans="1:2" x14ac:dyDescent="0.25">
      <c r="A30" t="s">
        <v>33</v>
      </c>
      <c r="B30" s="10">
        <v>11759000000</v>
      </c>
    </row>
    <row r="31" spans="1:2" x14ac:dyDescent="0.25">
      <c r="A31" t="s">
        <v>34</v>
      </c>
      <c r="B31" s="12">
        <v>386500000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0.06745961419015756</v>
      </c>
      <c r="C5" s="5">
        <v>0.0910202128925548</v>
      </c>
      <c r="D5" s="5">
        <v>0.08276768628098545</v>
      </c>
      <c r="E5" s="5">
        <v>0.0745151596694161</v>
      </c>
      <c r="F5" s="5">
        <v>0.06626263305784674</v>
      </c>
      <c r="G5" s="5">
        <v>0.058010106446277396</v>
      </c>
      <c r="H5" s="5">
        <v>0.04975757983470805</v>
      </c>
      <c r="I5" s="5">
        <v>0.041505053223138695</v>
      </c>
      <c r="J5" s="5">
        <v>0.03325252661156934</v>
      </c>
      <c r="K5" s="5">
        <v>0.024999999999999994</v>
      </c>
    </row>
    <row r="6" spans="1:11" x14ac:dyDescent="0.25">
      <c r="A6" t="s">
        <v>50</v>
      </c>
      <c r="B6" s="18">
        <f>Assumptions!B29*(1+B5)</f>
        <v>26810315669.999996</v>
      </c>
      <c r="C6" s="18">
        <f>B6*(1+C5)</f>
        <v>29250596309.999992</v>
      </c>
      <c r="D6" s="18">
        <f>C6*(1+D5)</f>
        <v>31671600488.91782</v>
      </c>
      <c r="E6" s="18">
        <f>D6*(1+E5)</f>
        <v>34031614856.335487</v>
      </c>
      <c r="F6" s="18">
        <f>E6*(1+F5)</f>
        <v>36286639263.92681</v>
      </c>
      <c r="G6" s="18">
        <f>F6*(1+G5)</f>
        <v>38391631070.20488</v>
      </c>
      <c r="H6" s="18">
        <f>G6*(1+H5)</f>
        <v>40301905718.16526</v>
      </c>
      <c r="I6" s="18">
        <f>H6*(1+I5)</f>
        <v>41974638459.99163</v>
      </c>
      <c r="J6" s="18">
        <f>I6*(1+J5)</f>
        <v>43370401242.3935</v>
      </c>
      <c r="K6" s="18">
        <f>J6*(1+K5)</f>
        <v>44454661273.45334</v>
      </c>
    </row>
    <row r="7" spans="1:11" x14ac:dyDescent="0.25">
      <c r="A7" t="s">
        <v>4</v>
      </c>
      <c r="B7" s="9">
        <f>Assumptions!B7</f>
        <v>0.1919978966897929</v>
      </c>
      <c r="C7" s="9">
        <f>Assumptions!B7</f>
        <v>0.1919978966897929</v>
      </c>
      <c r="D7" s="9">
        <f>Assumptions!B7</f>
        <v>0.1919978966897929</v>
      </c>
      <c r="E7" s="9">
        <f>Assumptions!B7</f>
        <v>0.1919978966897929</v>
      </c>
      <c r="F7" s="9">
        <f>Assumptions!B7</f>
        <v>0.1919978966897929</v>
      </c>
      <c r="G7" s="9">
        <f>Assumptions!B7</f>
        <v>0.1919978966897929</v>
      </c>
      <c r="H7" s="9">
        <f>Assumptions!B7</f>
        <v>0.1919978966897929</v>
      </c>
      <c r="I7" s="9">
        <f>Assumptions!B7</f>
        <v>0.1919978966897929</v>
      </c>
      <c r="J7" s="9">
        <f>Assumptions!B7</f>
        <v>0.1919978966897929</v>
      </c>
      <c r="K7" s="9">
        <f>Assumptions!B7</f>
        <v>0.1919978966897929</v>
      </c>
    </row>
    <row r="8" spans="1:11" x14ac:dyDescent="0.25">
      <c r="A8" t="s">
        <v>51</v>
      </c>
      <c r="B8" s="18">
        <f>B6*B7</f>
        <v>5147524218.229395</v>
      </c>
      <c r="C8" s="18">
        <f>C6*C7</f>
        <v>5616052968.442216</v>
      </c>
      <c r="D8" s="18">
        <f>D6*D7</f>
        <v>6080880678.671638</v>
      </c>
      <c r="E8" s="18">
        <f>E6*E7</f>
        <v>6533998473.373522</v>
      </c>
      <c r="F8" s="18">
        <f>F6*F7</f>
        <v>6966958416.615202</v>
      </c>
      <c r="G8" s="18">
        <f>G6*G7</f>
        <v>7371112415.969839</v>
      </c>
      <c r="H8" s="18">
        <f>H6*H7</f>
        <v>7737881130.478067</v>
      </c>
      <c r="I8" s="18">
        <f>I6*I7</f>
        <v>8059042298.63288</v>
      </c>
      <c r="J8" s="18">
        <f>J6*J7</f>
        <v>8327025817.131932</v>
      </c>
      <c r="K8" s="18">
        <f>K6*K7</f>
        <v>8535201462.560231</v>
      </c>
    </row>
    <row r="9" spans="1:11" x14ac:dyDescent="0.25">
      <c r="A9" t="s">
        <v>52</v>
      </c>
      <c r="B9" s="18">
        <f>B8*(1-Assumptions!B8)</f>
        <v>4423770437.587083</v>
      </c>
      <c r="C9" s="18">
        <f>C8*(1-Assumptions!B8)</f>
        <v>4826422964.60405</v>
      </c>
      <c r="D9" s="18">
        <f>D8*(1-Assumptions!B8)</f>
        <v>5225894826.39774</v>
      </c>
      <c r="E9" s="18">
        <f>E8*(1-Assumptions!B8)</f>
        <v>5615303213.802343</v>
      </c>
      <c r="F9" s="18">
        <f>F8*(1-Assumptions!B8)</f>
        <v>5987387990.167075</v>
      </c>
      <c r="G9" s="18">
        <f>G8*(1-Assumptions!B8)</f>
        <v>6334717004.811831</v>
      </c>
      <c r="H9" s="18">
        <f>H8*(1-Assumptions!B8)</f>
        <v>6649917191.9090395</v>
      </c>
      <c r="I9" s="18">
        <f>I8*(1-Assumptions!B8)</f>
        <v>6925922358.888689</v>
      </c>
      <c r="J9" s="18">
        <f>J8*(1-Assumptions!B8)</f>
        <v>7156226776.437298</v>
      </c>
      <c r="K9" s="18">
        <f>K8*(1-Assumptions!B8)</f>
        <v>7335132445.848231</v>
      </c>
    </row>
    <row r="10" spans="1:11" x14ac:dyDescent="0.25">
      <c r="A10" t="s">
        <v>53</v>
      </c>
      <c r="B10" s="18">
        <f>B6*Assumptions!B9</f>
        <v>1328560843.119385</v>
      </c>
      <c r="C10" s="18">
        <f>C6*Assumptions!B9</f>
        <v>1449486733.9008236</v>
      </c>
      <c r="D10" s="18">
        <f>D6*Assumptions!B9</f>
        <v>1569457397.160777</v>
      </c>
      <c r="E10" s="18">
        <f>E6*Assumptions!B9</f>
        <v>1686405765.7045584</v>
      </c>
      <c r="F10" s="18">
        <f>F6*Assumptions!B9</f>
        <v>1798151452.1440766</v>
      </c>
      <c r="G10" s="18">
        <f>G6*Assumptions!B9</f>
        <v>1902462409.289483</v>
      </c>
      <c r="H10" s="18">
        <f>H6*Assumptions!B9</f>
        <v>1997124334.5022357</v>
      </c>
      <c r="I10" s="18">
        <f>I6*Assumptions!B9</f>
        <v>2080015086.2989767</v>
      </c>
      <c r="J10" s="18">
        <f>J6*Assumptions!B9</f>
        <v>2149180843.308599</v>
      </c>
      <c r="K10" s="18">
        <f>K6*Assumptions!B9</f>
        <v>2202910364.391314</v>
      </c>
    </row>
    <row r="11" spans="1:11" x14ac:dyDescent="0.25">
      <c r="A11" t="s">
        <v>54</v>
      </c>
      <c r="B11" s="18">
        <f>-B6*B19</f>
        <v>-828687060.2434993</v>
      </c>
      <c r="C11" s="18">
        <f>-C6*C19</f>
        <v>-1006817057.0911376</v>
      </c>
      <c r="D11" s="18">
        <f>-D6*D19</f>
        <v>-1201352166.4748056</v>
      </c>
      <c r="E11" s="18">
        <f>-E6*E19</f>
        <v>-1410360629.5764632</v>
      </c>
      <c r="F11" s="18">
        <f>-F6*F19</f>
        <v>-1631222042.9109511</v>
      </c>
      <c r="G11" s="18">
        <f>-G6*G19</f>
        <v>-1860647517.207968</v>
      </c>
      <c r="H11" s="18">
        <f>-H6*H19</f>
        <v>-2094734172.2573502</v>
      </c>
      <c r="I11" s="18">
        <f>-I6*I19</f>
        <v>-2329054749.8041286</v>
      </c>
      <c r="J11" s="18">
        <f>-J6*J19</f>
        <v>-2558780937.38993</v>
      </c>
      <c r="K11" s="18">
        <f>-K6*K19</f>
        <v>-2778836674.176269</v>
      </c>
    </row>
    <row r="12" spans="1:11" x14ac:dyDescent="0.25">
      <c r="A12" t="s">
        <v>55</v>
      </c>
      <c r="B12" s="18">
        <f>-(B6-Assumptions!B29)*Assumptions!B11</f>
        <v>-547790017.605544</v>
      </c>
      <c r="C12" s="18">
        <f>-(C6-B6)*Assumptions!B11</f>
        <v>-788968312.3500056</v>
      </c>
      <c r="D12" s="18">
        <f>-(D6-C6)*Assumptions!B11</f>
        <v>-782736030.407188</v>
      </c>
      <c r="E12" s="18">
        <f>-(E6-D6)*Assumptions!B11</f>
        <v>-763017384.9935907</v>
      </c>
      <c r="F12" s="18">
        <f>-(F6-E6)*Assumptions!B11</f>
        <v>-729073030.373015</v>
      </c>
      <c r="G12" s="18">
        <f>-(G6-F6)*Assumptions!B11</f>
        <v>-680565917.5781521</v>
      </c>
      <c r="H12" s="18">
        <f>-(H6-G6)*Assumptions!B11</f>
        <v>-617611819.0759834</v>
      </c>
      <c r="I12" s="18">
        <f>-(I6-H6)*Assumptions!B11</f>
        <v>-540812030.6733865</v>
      </c>
      <c r="J12" s="18">
        <f>-(J6-I6)*Assumptions!B11</f>
        <v>-451264739.3180785</v>
      </c>
      <c r="K12" s="18">
        <f>-(K6-J6)*Assumptions!B11</f>
        <v>-350552634.32891303</v>
      </c>
    </row>
    <row r="13" spans="1:11" x14ac:dyDescent="0.25">
      <c r="A13" s="19" t="s">
        <v>56</v>
      </c>
      <c r="B13" s="20">
        <f>B9+B10+B11+B12</f>
        <v>4375854202.857425</v>
      </c>
      <c r="C13" s="20">
        <f>C9+C10+C11+C12</f>
        <v>4480124329.06373</v>
      </c>
      <c r="D13" s="20">
        <f>D9+D10+D11+D12</f>
        <v>4811264026.676523</v>
      </c>
      <c r="E13" s="20">
        <f>E9+E10+E11+E12</f>
        <v>5128330964.936849</v>
      </c>
      <c r="F13" s="20">
        <f>F9+F10+F11+F12</f>
        <v>5425244369.0271845</v>
      </c>
      <c r="G13" s="20">
        <f>G9+G10+G11+G12</f>
        <v>5695965979.315195</v>
      </c>
      <c r="H13" s="20">
        <f>H9+H10+H11+H12</f>
        <v>5934695535.077943</v>
      </c>
      <c r="I13" s="20">
        <f>I9+I10+I11+I12</f>
        <v>6136070664.710151</v>
      </c>
      <c r="J13" s="20">
        <f>J9+J10+J11+J12</f>
        <v>6295361943.0378895</v>
      </c>
      <c r="K13" s="20">
        <f>K9+K10+K11+K12</f>
        <v>6408653501.734364</v>
      </c>
    </row>
    <row r="14" spans="1:11" x14ac:dyDescent="0.25">
      <c r="A14" t="s">
        <v>57</v>
      </c>
      <c r="B14" s="21">
        <f>1/(1+Assumptions!$B$26)^(1-0.5*Assumptions!$B$32)</f>
        <v>0.9621364457055382</v>
      </c>
      <c r="C14" s="21">
        <f>1/(1+Assumptions!$B$26)^(2-0.5*Assumptions!$B$32)</f>
        <v>0.8906560003109931</v>
      </c>
      <c r="D14" s="21">
        <f>1/(1+Assumptions!$B$26)^(3-0.5*Assumptions!$B$32)</f>
        <v>0.8244860845160784</v>
      </c>
      <c r="E14" s="21">
        <f>1/(1+Assumptions!$B$26)^(4-0.5*Assumptions!$B$32)</f>
        <v>0.7632321607032279</v>
      </c>
      <c r="F14" s="21">
        <f>1/(1+Assumptions!$B$26)^(5-0.5*Assumptions!$B$32)</f>
        <v>0.706529002819523</v>
      </c>
      <c r="G14" s="21">
        <f>1/(1+Assumptions!$B$26)^(6-0.5*Assumptions!$B$32)</f>
        <v>0.6540385187191423</v>
      </c>
      <c r="H14" s="21">
        <f>1/(1+Assumptions!$B$26)^(7-0.5*Assumptions!$B$32)</f>
        <v>0.6054477342915239</v>
      </c>
      <c r="I14" s="21">
        <f>1/(1+Assumptions!$B$26)^(8-0.5*Assumptions!$B$32)</f>
        <v>0.5604669273556213</v>
      </c>
      <c r="J14" s="21">
        <f>1/(1+Assumptions!$B$26)^(9-0.5*Assumptions!$B$32)</f>
        <v>0.518827900193612</v>
      </c>
      <c r="K14" s="21">
        <f>1/(1+Assumptions!$B$26)^(10-0.5*Assumptions!$B$32)</f>
        <v>0.480282380424053</v>
      </c>
    </row>
    <row r="15" spans="1:11" x14ac:dyDescent="0.25">
      <c r="A15" s="19" t="s">
        <v>58</v>
      </c>
      <c r="B15" s="20">
        <f>B13*B14</f>
        <v>4210168809.6628838</v>
      </c>
      <c r="C15" s="20">
        <f>C13*C14</f>
        <v>3990249615.819874</v>
      </c>
      <c r="D15" s="20">
        <f>D13*D14</f>
        <v>3966820238.9275875</v>
      </c>
      <c r="E15" s="20">
        <f>E13*E14</f>
        <v>3914107123.1700206</v>
      </c>
      <c r="F15" s="20">
        <f>F13*F14</f>
        <v>3833092494.101009</v>
      </c>
      <c r="G15" s="20">
        <f>G13*G14</f>
        <v>3725381151.785939</v>
      </c>
      <c r="H15" s="20">
        <f>H13*H14</f>
        <v>3593147965.4229636</v>
      </c>
      <c r="I15" s="20">
        <f>I13*I14</f>
        <v>3439064671.487063</v>
      </c>
      <c r="J15" s="20">
        <f>J13*J14</f>
        <v>3266209417.8651257</v>
      </c>
      <c r="K15" s="20">
        <f>K13*K14</f>
        <v>3077963359.125923</v>
      </c>
    </row>
    <row r="17" spans="1:2" x14ac:dyDescent="0.25">
      <c r="A17" s="22" t="s">
        <v>59</v>
      </c>
      <c r="B17" s="23">
        <f>SUM(B15:K15)</f>
        <v>37016204847.368385</v>
      </c>
    </row>
    <row r="19" spans="1:11" x14ac:dyDescent="0.25">
      <c r="A19" t="s">
        <v>7</v>
      </c>
      <c r="B19" s="9">
        <f>Assumptions!$B$10+($B$20-Assumptions!$B$10)*0/9</f>
        <v>0.030909261585859552</v>
      </c>
      <c r="C19" s="9">
        <f>Assumptions!$B$10+($B$20-Assumptions!$B$10)*1/9</f>
        <v>0.034420394251823645</v>
      </c>
      <c r="D19" s="9">
        <f>Assumptions!$B$10+($B$20-Assumptions!$B$10)*2/9</f>
        <v>0.03793152691778774</v>
      </c>
      <c r="E19" s="9">
        <f>Assumptions!$B$10+($B$20-Assumptions!$B$10)*3/9</f>
        <v>0.04144265958375184</v>
      </c>
      <c r="F19" s="9">
        <f>Assumptions!$B$10+($B$20-Assumptions!$B$10)*4/9</f>
        <v>0.044953792249715935</v>
      </c>
      <c r="G19" s="9">
        <f>Assumptions!$B$10+($B$20-Assumptions!$B$10)*5/9</f>
        <v>0.04846492491568003</v>
      </c>
      <c r="H19" s="9">
        <f>Assumptions!$B$10+($B$20-Assumptions!$B$10)*6/9</f>
        <v>0.05197605758164413</v>
      </c>
      <c r="I19" s="9">
        <f>Assumptions!$B$10+($B$20-Assumptions!$B$10)*7/9</f>
        <v>0.055487190247608224</v>
      </c>
      <c r="J19" s="9">
        <f>Assumptions!$B$10+($B$20-Assumptions!$B$10)*8/9</f>
        <v>0.05899832291357232</v>
      </c>
      <c r="K19" s="9">
        <f>Assumptions!$B$10+($B$20-Assumptions!$B$10)*9/9</f>
        <v>0.06250945557953641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0.06250945557953641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6408653501.734364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8497319111.24903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0.2269248971015982</v>
      </c>
    </row>
    <row r="7" spans="1:2" x14ac:dyDescent="0.25">
      <c r="A7" t="s">
        <v>66</v>
      </c>
      <c r="B7" s="18">
        <f>-MAX(B5,0)*B6</f>
        <v>-1928253264.95963</v>
      </c>
    </row>
    <row r="8" spans="1:2" x14ac:dyDescent="0.25">
      <c r="A8" t="s">
        <v>67</v>
      </c>
      <c r="B8" s="18">
        <f>IF(OR(Assumptions!$B$33=0,Assumptions!B12&lt;=0),B5,MAX(B5+B7,0))</f>
        <v>6569065846.2894</v>
      </c>
    </row>
    <row r="9" spans="1:2" x14ac:dyDescent="0.25">
      <c r="A9" t="s">
        <v>68</v>
      </c>
      <c r="B9" s="18">
        <f>B8*(1+Assumptions!B12)/(Assumptions!B26-Assumptions!B12)</f>
        <v>121856419506.18195</v>
      </c>
    </row>
    <row r="10" spans="1:2" x14ac:dyDescent="0.25">
      <c r="A10" t="s">
        <v>69</v>
      </c>
      <c r="B10" s="18">
        <f>B9/(1+Assumptions!B26)^(10-0.5*Assumptions!B32)</f>
        <v>58525491230.38107</v>
      </c>
    </row>
    <row r="11" spans="1:2" x14ac:dyDescent="0.25">
      <c r="A11" t="s">
        <v>70</v>
      </c>
      <c r="B11" s="18">
        <f>Forecast!B17+B10</f>
        <v>95541696077.74945</v>
      </c>
    </row>
    <row r="12" spans="1:2" x14ac:dyDescent="0.25">
      <c r="A12" t="s">
        <v>71</v>
      </c>
      <c r="B12" s="18">
        <f>-Assumptions!B30</f>
        <v>-11759000000</v>
      </c>
    </row>
    <row r="13" spans="1:2" x14ac:dyDescent="0.25">
      <c r="A13" t="s">
        <v>72</v>
      </c>
      <c r="B13" s="18">
        <f>B11+B12</f>
        <v>83782696077.74945</v>
      </c>
    </row>
    <row r="14" spans="1:2" x14ac:dyDescent="0.25">
      <c r="A14" s="19" t="s">
        <v>73</v>
      </c>
      <c r="B14" s="24">
        <f>B13/Assumptions!B31</f>
        <v>216.77282296959754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10738111826.951546</v>
      </c>
    </row>
    <row r="18" spans="1:2" x14ac:dyDescent="0.25">
      <c r="A18" t="s">
        <v>68</v>
      </c>
      <c r="B18" s="18">
        <f>B17*Assumptions!B13</f>
        <v>211030816245.19305</v>
      </c>
    </row>
    <row r="19" spans="1:2" x14ac:dyDescent="0.25">
      <c r="A19" t="s">
        <v>69</v>
      </c>
      <c r="B19" s="18">
        <f>B18/(1+Assumptions!B26)^(10-0.5*Assumptions!B32)</f>
        <v>101354382769.07224</v>
      </c>
    </row>
    <row r="20" spans="1:2" x14ac:dyDescent="0.25">
      <c r="A20" t="s">
        <v>70</v>
      </c>
      <c r="B20" s="18">
        <f>Forecast!B17+B19</f>
        <v>138370587616.4406</v>
      </c>
    </row>
    <row r="21" spans="1:2" x14ac:dyDescent="0.25">
      <c r="A21" t="s">
        <v>71</v>
      </c>
      <c r="B21" s="18">
        <f>-Assumptions!B30</f>
        <v>-11759000000</v>
      </c>
    </row>
    <row r="22" spans="1:2" x14ac:dyDescent="0.25">
      <c r="A22" t="s">
        <v>72</v>
      </c>
      <c r="B22" s="18">
        <f>B20+B21</f>
        <v>126611587616.44061</v>
      </c>
    </row>
    <row r="23" spans="1:2" x14ac:dyDescent="0.25">
      <c r="A23" s="19" t="s">
        <v>73</v>
      </c>
      <c r="B23" s="25">
        <f>B22/Assumptions!B31</f>
        <v>327.5849614914375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291.86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216.77282296959754</v>
      </c>
    </row>
    <row r="29" spans="1:2" x14ac:dyDescent="0.25">
      <c r="A29" s="19" t="s">
        <v>81</v>
      </c>
      <c r="B29" s="11">
        <f>B28/B26-1</f>
        <v>-0.2572712157555077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0.060256</v>
      </c>
      <c r="B5" s="31">
        <v>324.7314448762408</v>
      </c>
      <c r="C5" s="31">
        <v>338.90930320659396</v>
      </c>
      <c r="D5" s="31">
        <v>357.8026179171214</v>
      </c>
      <c r="E5" s="31">
        <v>383.7491681492367</v>
      </c>
      <c r="F5" s="31">
        <v>420.9379993901043</v>
      </c>
    </row>
    <row r="6" spans="1:6" x14ac:dyDescent="0.25">
      <c r="A6" s="30">
        <v>0.070256</v>
      </c>
      <c r="B6" s="31">
        <v>258.4008933312974</v>
      </c>
      <c r="C6" s="31">
        <v>264.14330871395015</v>
      </c>
      <c r="D6" s="31">
        <v>271.6650927876731</v>
      </c>
      <c r="E6" s="31">
        <v>281.6292654840553</v>
      </c>
      <c r="F6" s="31">
        <v>295.0749642361547</v>
      </c>
    </row>
    <row r="7" spans="1:6" x14ac:dyDescent="0.25">
      <c r="A7" s="30">
        <v>0.080256</v>
      </c>
      <c r="B7" s="31">
        <v>212.54976828198124</v>
      </c>
      <c r="C7" s="31">
        <v>214.30482591185844</v>
      </c>
      <c r="D7" s="32">
        <v>216.77260825629511</v>
      </c>
      <c r="E7" s="31">
        <v>220.16584356104093</v>
      </c>
      <c r="F7" s="31">
        <v>224.79127114032244</v>
      </c>
    </row>
    <row r="8" spans="1:6" x14ac:dyDescent="0.25">
      <c r="A8" s="30">
        <v>0.090256</v>
      </c>
      <c r="B8" s="31">
        <v>179.00410711901634</v>
      </c>
      <c r="C8" s="31">
        <v>178.74212598488026</v>
      </c>
      <c r="D8" s="31">
        <v>178.7564160340363</v>
      </c>
      <c r="E8" s="31">
        <v>179.11575162504442</v>
      </c>
      <c r="F8" s="31">
        <v>179.9138001085594</v>
      </c>
    </row>
    <row r="9" spans="1:6" x14ac:dyDescent="0.25">
      <c r="A9" s="30">
        <v>0.100256</v>
      </c>
      <c r="B9" s="31">
        <v>153.42575965554394</v>
      </c>
      <c r="C9" s="31">
        <v>152.1129420650218</v>
      </c>
      <c r="D9" s="31">
        <v>150.88539365059407</v>
      </c>
      <c r="E9" s="31">
        <v>149.76131979886713</v>
      </c>
      <c r="F9" s="31">
        <v>148.76450557850163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25116000000</v>
      </c>
      <c r="C5" s="18">
        <v>22595000000</v>
      </c>
      <c r="D5" s="18">
        <v>20498000000</v>
      </c>
      <c r="E5" s="18">
        <v>18449000000</v>
      </c>
      <c r="F5" s="6" t="s">
        <v>91</v>
      </c>
    </row>
    <row r="6" spans="1:6" x14ac:dyDescent="0.25">
      <c r="A6" t="s">
        <v>51</v>
      </c>
      <c r="B6" s="18">
        <v>5059000000</v>
      </c>
      <c r="C6" s="18">
        <v>4666000000</v>
      </c>
      <c r="D6" s="18">
        <v>3924000000</v>
      </c>
      <c r="E6" s="18">
        <v>3111000000</v>
      </c>
      <c r="F6" s="6" t="s">
        <v>92</v>
      </c>
    </row>
    <row r="7" spans="1:6" x14ac:dyDescent="0.25">
      <c r="A7" t="s">
        <v>93</v>
      </c>
      <c r="B7" s="18">
        <v>1193000000</v>
      </c>
      <c r="C7" s="18">
        <v>1050000000</v>
      </c>
      <c r="D7" s="18">
        <v>1028000000</v>
      </c>
      <c r="E7" s="18">
        <v>998000000</v>
      </c>
      <c r="F7" s="6" t="s">
        <v>94</v>
      </c>
    </row>
    <row r="8" spans="1:6" x14ac:dyDescent="0.25">
      <c r="A8" t="s">
        <v>95</v>
      </c>
      <c r="B8" s="18">
        <v>761000000</v>
      </c>
      <c r="C8" s="18">
        <v>755000000</v>
      </c>
      <c r="D8" s="18">
        <v>575000000</v>
      </c>
      <c r="E8" s="18">
        <v>588000000</v>
      </c>
      <c r="F8" s="6" t="s">
        <v>96</v>
      </c>
    </row>
    <row r="9" spans="1:6" x14ac:dyDescent="0.25">
      <c r="A9" t="s">
        <v>97</v>
      </c>
      <c r="B9" s="18">
        <v>373000000</v>
      </c>
      <c r="C9" s="18">
        <v>683000000</v>
      </c>
      <c r="D9" s="18">
        <v>517000000</v>
      </c>
      <c r="E9" s="18">
        <v>1240000000</v>
      </c>
      <c r="F9" s="6" t="s">
        <v>98</v>
      </c>
    </row>
    <row r="10" spans="1:6" x14ac:dyDescent="0.25">
      <c r="A10" t="s">
        <v>99</v>
      </c>
      <c r="B10" s="18">
        <v>15859000000</v>
      </c>
      <c r="C10" s="18">
        <v>13597000000</v>
      </c>
      <c r="D10" s="18">
        <v>12995000000</v>
      </c>
      <c r="E10" s="18">
        <v>13048000000</v>
      </c>
      <c r="F10" s="6" t="s">
        <v>100</v>
      </c>
    </row>
    <row r="11" spans="1:6" x14ac:dyDescent="0.25">
      <c r="A11" t="s">
        <v>101</v>
      </c>
      <c r="B11" s="18">
        <v>4100000000</v>
      </c>
      <c r="C11" s="18">
        <v>4493000000</v>
      </c>
      <c r="D11" s="18">
        <v>3053000000</v>
      </c>
      <c r="E11" s="18">
        <v>1928000000</v>
      </c>
      <c r="F11" s="6" t="s">
        <v>102</v>
      </c>
    </row>
    <row r="12" spans="1:6" x14ac:dyDescent="0.25">
      <c r="A12" t="s">
        <v>34</v>
      </c>
      <c r="B12" s="34">
        <v>386500000</v>
      </c>
      <c r="C12" s="34">
        <v>385600000</v>
      </c>
      <c r="D12" s="34">
        <v>383700000</v>
      </c>
      <c r="E12" s="34">
        <v>382200000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