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<sst xmlns="http://schemas.openxmlformats.org/spreadsheetml/2006/main" count="119" uniqueCount="106">
  <si>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Sysco Corporation (SYY)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</si>
  <si>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</si>
  <si>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</si>
  <si>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</si>
  <si>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</si>
  <si>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</si>
  <si>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</si>
  <si>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</si>
  <si>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</si>
  <si>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</si>
  <si>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</si>
  <si>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</si>
  <si>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</si>
  <si>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</si>
  <si>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</si>
  <si>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</si>
  <si>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</si>
  <si>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</si>
  <si>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</si>
  <si>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</si>
  <si>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</si>
  <si>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</si>
  <si>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</si>
  <si>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</si>
  <si>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4.3x interest cover. Book interest / average debt was lower, at 4.9%.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</si>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</sst>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0.0642137390748998</v>
      </c>
    </row>
    <row r="7" spans="1:2" x14ac:dyDescent="0.25">
      <c r="A7" t="s">
        <v>4</v>
      </c>
      <c r="B7" s="5">
        <v>0.03874569486918514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0.012747949298493808</v>
      </c>
    </row>
    <row r="10" spans="1:3" x14ac:dyDescent="0.25">
      <c r="A10" t="s">
        <v>7</v>
      </c>
      <c r="B10" s="5">
        <v>0.010088854911846808</v>
      </c>
      <c r="C10" s="6" t="s">
        <v>8</v>
      </c>
    </row>
    <row r="11" spans="1:2" x14ac:dyDescent="0.25">
      <c r="A11" t="s">
        <v>9</v>
      </c>
      <c r="B11" s="5">
        <v>0.048383463587863926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12.774778742424242</v>
      </c>
    </row>
    <row r="14" spans="1:3" x14ac:dyDescent="0.25">
      <c r="A14" t="s">
        <v>12</v>
      </c>
      <c r="B14" s="5">
        <v>0.17194406785900257</v>
      </c>
      <c r="C14" s="6" t="s">
        <v>13</v>
      </c>
    </row>
    <row r="15" spans="1:3" x14ac:dyDescent="0.25">
      <c r="A15" t="s">
        <v>14</v>
      </c>
      <c r="B15" s="5">
        <v>0.012747949298493808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0.7587999999999999</v>
      </c>
      <c r="C19" s="6" t="s">
        <v>21</v>
      </c>
    </row>
    <row r="20" spans="1:2" x14ac:dyDescent="0.25">
      <c r="A20" t="s">
        <v>22</v>
      </c>
      <c r="B20" s="9">
        <f>B17+B19*B18</f>
        <v>0.08103724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40779665408</v>
      </c>
    </row>
    <row r="23" spans="1:2" x14ac:dyDescent="0.25">
      <c r="A23" t="s">
        <v>26</v>
      </c>
      <c r="B23" s="10">
        <v>14967000000</v>
      </c>
    </row>
    <row r="24" spans="1:2" x14ac:dyDescent="0.25">
      <c r="A24" t="s">
        <v>27</v>
      </c>
      <c r="B24" s="9">
        <f>B22/(B22+B23)</f>
        <v>0.7315175734645442</v>
      </c>
    </row>
    <row r="25" spans="1:2" x14ac:dyDescent="0.25">
      <c r="A25" t="s">
        <v>28</v>
      </c>
      <c r="B25" s="9">
        <f>1-B24</f>
        <v>0.26848242653545584</v>
      </c>
    </row>
    <row r="26" spans="1:2" x14ac:dyDescent="0.25">
      <c r="A26" t="s">
        <v>29</v>
      </c>
      <c r="B26" s="11">
        <f>B24*B20+B25*B21*(1-B8)</f>
        <v>0.0713147825415451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84553000000</v>
      </c>
      <c r="C29" s="6" t="s">
        <v>32</v>
      </c>
    </row>
    <row r="30" spans="1:2" x14ac:dyDescent="0.25">
      <c r="A30" t="s">
        <v>33</v>
      </c>
      <c r="B30" s="10">
        <v>13181000000</v>
      </c>
    </row>
    <row r="31" spans="1:2" x14ac:dyDescent="0.25">
      <c r="A31" t="s">
        <v>34</v>
      </c>
      <c r="B31" s="12">
        <v>480612203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0.0642137390748998</v>
      </c>
      <c r="C5" s="5">
        <v>0.022289443904969675</v>
      </c>
      <c r="D5" s="5">
        <v>0.022628263416848465</v>
      </c>
      <c r="E5" s="5">
        <v>0.022967082928727255</v>
      </c>
      <c r="F5" s="5">
        <v>0.023305902440606048</v>
      </c>
      <c r="G5" s="5">
        <v>0.023644721952484838</v>
      </c>
      <c r="H5" s="5">
        <v>0.023983541464363628</v>
      </c>
      <c r="I5" s="5">
        <v>0.02432236097624242</v>
      </c>
      <c r="J5" s="5">
        <v>0.02466118048812121</v>
      </c>
      <c r="K5" s="5">
        <v>0.025</v>
      </c>
    </row>
    <row r="6" spans="1:11" x14ac:dyDescent="0.25">
      <c r="A6" t="s">
        <v>50</v>
      </c>
      <c r="B6" s="18">
        <f>Assumptions!B29*(1+B5)</f>
        <v>89982464280</v>
      </c>
      <c r="C6" s="18">
        <f>B6*(1+C5)</f>
        <v>91988123370</v>
      </c>
      <c r="D6" s="18">
        <f>C6*(1+D5)</f>
        <v>94069654856.8379</v>
      </c>
      <c r="E6" s="18">
        <f>D6*(1+E5)</f>
        <v>96230160421.01164</v>
      </c>
      <c r="F6" s="18">
        <f>E6*(1+F5)</f>
        <v>98472891151.62762</v>
      </c>
      <c r="G6" s="18">
        <f>F6*(1+G5)</f>
        <v>100801255282.76517</v>
      </c>
      <c r="H6" s="18">
        <f>G6*(1+H5)</f>
        <v>103218826368.49927</v>
      </c>
      <c r="I6" s="18">
        <f>H6*(1+I5)</f>
        <v>105729351922.978</v>
      </c>
      <c r="J6" s="18">
        <f>I6*(1+J5)</f>
        <v>108336762553.64264</v>
      </c>
      <c r="K6" s="18">
        <f>J6*(1+K5)</f>
        <v>111045181617.48369</v>
      </c>
    </row>
    <row r="7" spans="1:11" x14ac:dyDescent="0.25">
      <c r="A7" t="s">
        <v>4</v>
      </c>
      <c r="B7" s="9">
        <f>Assumptions!B7</f>
        <v>0.03874569486918514</v>
      </c>
      <c r="C7" s="9">
        <f>Assumptions!B7</f>
        <v>0.03874569486918514</v>
      </c>
      <c r="D7" s="9">
        <f>Assumptions!B7</f>
        <v>0.03874569486918514</v>
      </c>
      <c r="E7" s="9">
        <f>Assumptions!B7</f>
        <v>0.03874569486918514</v>
      </c>
      <c r="F7" s="9">
        <f>Assumptions!B7</f>
        <v>0.03874569486918514</v>
      </c>
      <c r="G7" s="9">
        <f>Assumptions!B7</f>
        <v>0.03874569486918514</v>
      </c>
      <c r="H7" s="9">
        <f>Assumptions!B7</f>
        <v>0.03874569486918514</v>
      </c>
      <c r="I7" s="9">
        <f>Assumptions!B7</f>
        <v>0.03874569486918514</v>
      </c>
      <c r="J7" s="9">
        <f>Assumptions!B7</f>
        <v>0.03874569486918514</v>
      </c>
      <c r="K7" s="9">
        <f>Assumptions!B7</f>
        <v>0.03874569486918514</v>
      </c>
    </row>
    <row r="8" spans="1:11" x14ac:dyDescent="0.25">
      <c r="A8" t="s">
        <v>51</v>
      </c>
      <c r="B8" s="18">
        <f>B6*B7</f>
        <v>3486433104.570231</v>
      </c>
      <c r="C8" s="18">
        <f>C6*C7</f>
        <v>3564143759.6829786</v>
      </c>
      <c r="D8" s="18">
        <f>D6*D7</f>
        <v>3644794143.5326014</v>
      </c>
      <c r="E8" s="18">
        <f>E6*E7</f>
        <v>3728504432.8852534</v>
      </c>
      <c r="F8" s="18">
        <f>F6*F7</f>
        <v>3815400593.447445</v>
      </c>
      <c r="G8" s="18">
        <f>G6*G7</f>
        <v>3905614679.6168556</v>
      </c>
      <c r="H8" s="18">
        <f>H6*H7</f>
        <v>3999285151.229274</v>
      </c>
      <c r="I8" s="18">
        <f>I6*I7</f>
        <v>4096557208.3243985</v>
      </c>
      <c r="J8" s="18">
        <f>J6*J7</f>
        <v>4197583145.0188003</v>
      </c>
      <c r="K8" s="18">
        <f>K6*K7</f>
        <v>4302522723.64427</v>
      </c>
    </row>
    <row r="9" spans="1:11" x14ac:dyDescent="0.25">
      <c r="A9" t="s">
        <v>52</v>
      </c>
      <c r="B9" s="18">
        <f>B8*(1-Assumptions!B8)</f>
        <v>2754282152.6104827</v>
      </c>
      <c r="C9" s="18">
        <f>C8*(1-Assumptions!B8)</f>
        <v>2815673570.1495533</v>
      </c>
      <c r="D9" s="18">
        <f>D8*(1-Assumptions!B8)</f>
        <v>2879387373.390755</v>
      </c>
      <c r="E9" s="18">
        <f>E8*(1-Assumptions!B8)</f>
        <v>2945518501.9793506</v>
      </c>
      <c r="F9" s="18">
        <f>F8*(1-Assumptions!B8)</f>
        <v>3014166468.8234816</v>
      </c>
      <c r="G9" s="18">
        <f>G8*(1-Assumptions!B8)</f>
        <v>3085435596.897316</v>
      </c>
      <c r="H9" s="18">
        <f>H8*(1-Assumptions!B8)</f>
        <v>3159435269.4711266</v>
      </c>
      <c r="I9" s="18">
        <f>I8*(1-Assumptions!B8)</f>
        <v>3236280194.576275</v>
      </c>
      <c r="J9" s="18">
        <f>J8*(1-Assumptions!B8)</f>
        <v>3316090684.564852</v>
      </c>
      <c r="K9" s="18">
        <f>K8*(1-Assumptions!B8)</f>
        <v>3398992951.678973</v>
      </c>
    </row>
    <row r="10" spans="1:11" x14ac:dyDescent="0.25">
      <c r="A10" t="s">
        <v>53</v>
      </c>
      <c r="B10" s="18">
        <f>B6*Assumptions!B9</f>
        <v>1147091892.3949702</v>
      </c>
      <c r="C10" s="18">
        <f>C6*Assumptions!B9</f>
        <v>1172659932.7843533</v>
      </c>
      <c r="D10" s="18">
        <f>D6*Assumptions!B9</f>
        <v>1199195190.6417813</v>
      </c>
      <c r="E10" s="18">
        <f>E6*Assumptions!B9</f>
        <v>1226737206.0329819</v>
      </c>
      <c r="F10" s="18">
        <f>F6*Assumptions!B9</f>
        <v>1255327423.6770484</v>
      </c>
      <c r="G10" s="18">
        <f>G6*Assumptions!B9</f>
        <v>1285009291.5692215</v>
      </c>
      <c r="H10" s="18">
        <f>H6*Assumptions!B9</f>
        <v>1315828365.1956644</v>
      </c>
      <c r="I10" s="18">
        <f>I6*Assumptions!B9</f>
        <v>1347832417.6767323</v>
      </c>
      <c r="J10" s="18">
        <f>J6*Assumptions!B9</f>
        <v>1381071556.1967988</v>
      </c>
      <c r="K10" s="18">
        <f>K6*Assumptions!B9</f>
        <v>1415598345.1017187</v>
      </c>
    </row>
    <row r="11" spans="1:11" x14ac:dyDescent="0.25">
      <c r="A11" t="s">
        <v>54</v>
      </c>
      <c r="B11" s="18">
        <f>-B6*B19</f>
        <v>-907820026.7313579</v>
      </c>
      <c r="C11" s="18">
        <f>-C6*C19</f>
        <v>-1000720731.3459545</v>
      </c>
      <c r="D11" s="18">
        <f>-D6*D19</f>
        <v>-1097675507.8649607</v>
      </c>
      <c r="E11" s="18">
        <f>-E6*E19</f>
        <v>-1198902805.1087272</v>
      </c>
      <c r="F11" s="18">
        <f>-F6*F19</f>
        <v>-1304632852.0341957</v>
      </c>
      <c r="G11" s="18">
        <f>-G6*G19</f>
        <v>-1415108356.4683146</v>
      </c>
      <c r="H11" s="18">
        <f>-H6*H19</f>
        <v>-1530585247.0141087</v>
      </c>
      <c r="I11" s="18">
        <f>-I6*I19</f>
        <v>-1651333460.9672937</v>
      </c>
      <c r="J11" s="18">
        <f>-J6*J19</f>
        <v>-1777637781.275908</v>
      </c>
      <c r="K11" s="18">
        <f>-K6*K19</f>
        <v>-1909798725.7839723</v>
      </c>
    </row>
    <row r="12" spans="1:11" x14ac:dyDescent="0.25">
      <c r="A12" t="s">
        <v>55</v>
      </c>
      <c r="B12" s="18">
        <f>-(B6-Assumptions!B29)*Assumptions!B11</f>
        <v>-262696287.29298782</v>
      </c>
      <c r="C12" s="18">
        <f>-(C6-B6)*Assumptions!B11</f>
        <v>-97040733.55068329</v>
      </c>
      <c r="D12" s="18">
        <f>-(D6-C6)*Assumptions!B11</f>
        <v>-100711702.90041408</v>
      </c>
      <c r="E12" s="18">
        <f>-(E6-D6)*Assumptions!B11</f>
        <v>-104532742.29557739</v>
      </c>
      <c r="F12" s="18">
        <f>-(F6-E6)*Assumptions!B11</f>
        <v>-108511080.64214183</v>
      </c>
      <c r="G12" s="18">
        <f>-(G6-F6)*Assumptions!B11</f>
        <v>-112654321.15818173</v>
      </c>
      <c r="H12" s="18">
        <f>-(H6-G6)*Assumptions!B11</f>
        <v>-116970462.5976885</v>
      </c>
      <c r="I12" s="18">
        <f>-(I6-H6)*Assumptions!B11</f>
        <v>-121467921.7515235</v>
      </c>
      <c r="J12" s="18">
        <f>-(J6-I6)*Assumptions!B11</f>
        <v>-126155557.30737203</v>
      </c>
      <c r="K12" s="18">
        <f>-(K6-J6)*Assumptions!B11</f>
        <v>-131042695.15602991</v>
      </c>
    </row>
    <row r="13" spans="1:11" x14ac:dyDescent="0.25">
      <c r="A13" s="19" t="s">
        <v>56</v>
      </c>
      <c r="B13" s="20">
        <f>B9+B10+B11+B12</f>
        <v>2730857730.981107</v>
      </c>
      <c r="C13" s="20">
        <f>C9+C10+C11+C12</f>
        <v>2890572038.0372686</v>
      </c>
      <c r="D13" s="20">
        <f>D9+D10+D11+D12</f>
        <v>2880195353.267162</v>
      </c>
      <c r="E13" s="20">
        <f>E9+E10+E11+E12</f>
        <v>2868820160.608028</v>
      </c>
      <c r="F13" s="20">
        <f>F9+F10+F11+F12</f>
        <v>2856349959.8241925</v>
      </c>
      <c r="G13" s="20">
        <f>G9+G10+G11+G12</f>
        <v>2842682210.840041</v>
      </c>
      <c r="H13" s="20">
        <f>H9+H10+H11+H12</f>
        <v>2827707925.0549936</v>
      </c>
      <c r="I13" s="20">
        <f>I9+I10+I11+I12</f>
        <v>2811311229.5341897</v>
      </c>
      <c r="J13" s="20">
        <f>J9+J10+J11+J12</f>
        <v>2793368902.178371</v>
      </c>
      <c r="K13" s="20">
        <f>K9+K10+K11+K12</f>
        <v>2773749875.84069</v>
      </c>
    </row>
    <row r="14" spans="1:11" x14ac:dyDescent="0.25">
      <c r="A14" t="s">
        <v>57</v>
      </c>
      <c r="B14" s="21">
        <f>1/(1+Assumptions!$B$26)^(1-0.5*Assumptions!$B$32)</f>
        <v>0.9661430880699775</v>
      </c>
      <c r="C14" s="21">
        <f>1/(1+Assumptions!$B$26)^(2-0.5*Assumptions!$B$32)</f>
        <v>0.9018293258102326</v>
      </c>
      <c r="D14" s="21">
        <f>1/(1+Assumptions!$B$26)^(3-0.5*Assumptions!$B$32)</f>
        <v>0.8417967720661599</v>
      </c>
      <c r="E14" s="21">
        <f>1/(1+Assumptions!$B$26)^(4-0.5*Assumptions!$B$32)</f>
        <v>0.7857604373470086</v>
      </c>
      <c r="F14" s="21">
        <f>1/(1+Assumptions!$B$26)^(5-0.5*Assumptions!$B$32)</f>
        <v>0.7334543032094653</v>
      </c>
      <c r="G14" s="21">
        <f>1/(1+Assumptions!$B$26)^(6-0.5*Assumptions!$B$32)</f>
        <v>0.6846300594018194</v>
      </c>
      <c r="H14" s="21">
        <f>1/(1+Assumptions!$B$26)^(7-0.5*Assumptions!$B$32)</f>
        <v>0.6390559250733291</v>
      </c>
      <c r="I14" s="21">
        <f>1/(1+Assumptions!$B$26)^(8-0.5*Assumptions!$B$32)</f>
        <v>0.5965155484527693</v>
      </c>
      <c r="J14" s="21">
        <f>1/(1+Assumptions!$B$26)^(9-0.5*Assumptions!$B$32)</f>
        <v>0.5568069797726671</v>
      </c>
      <c r="K14" s="21">
        <f>1/(1+Assumptions!$B$26)^(10-0.5*Assumptions!$B$32)</f>
        <v>0.5197417125634356</v>
      </c>
    </row>
    <row r="15" spans="1:11" x14ac:dyDescent="0.25">
      <c r="A15" s="19" t="s">
        <v>58</v>
      </c>
      <c r="B15" s="20">
        <f>B13*B14</f>
        <v>2638399321.289859</v>
      </c>
      <c r="C15" s="20">
        <f>C13*C14</f>
        <v>2606802632.2690597</v>
      </c>
      <c r="D15" s="20">
        <f>D13*D14</f>
        <v>2424539151.30025</v>
      </c>
      <c r="E15" s="20">
        <f>E13*E14</f>
        <v>2254205384.0692797</v>
      </c>
      <c r="F15" s="20">
        <f>F13*F14</f>
        <v>2095002169.505237</v>
      </c>
      <c r="G15" s="20">
        <f>G13*G14</f>
        <v>1946185690.8679128</v>
      </c>
      <c r="H15" s="20">
        <f>H13*H14</f>
        <v>1807063503.8832028</v>
      </c>
      <c r="I15" s="20">
        <f>I13*I14</f>
        <v>1676990859.9570165</v>
      </c>
      <c r="J15" s="20">
        <f>J13*J14</f>
        <v>1555367301.8128295</v>
      </c>
      <c r="K15" s="20">
        <f>K13*K14</f>
        <v>1441633510.6920571</v>
      </c>
    </row>
    <row r="17" spans="1:2" x14ac:dyDescent="0.25">
      <c r="A17" s="22" t="s">
        <v>59</v>
      </c>
      <c r="B17" s="23">
        <f>SUM(B15:K15)</f>
        <v>20446189525.646706</v>
      </c>
    </row>
    <row r="19" spans="1:11" x14ac:dyDescent="0.25">
      <c r="A19" t="s">
        <v>7</v>
      </c>
      <c r="B19" s="9">
        <f>Assumptions!$B$10+($B$20-Assumptions!$B$10)*0/9</f>
        <v>0.010088854911846808</v>
      </c>
      <c r="C19" s="9">
        <f>Assumptions!$B$10+($B$20-Assumptions!$B$10)*1/9</f>
        <v>0.010878803639909004</v>
      </c>
      <c r="D19" s="9">
        <f>Assumptions!$B$10+($B$20-Assumptions!$B$10)*2/9</f>
        <v>0.0116687523679712</v>
      </c>
      <c r="E19" s="9">
        <f>Assumptions!$B$10+($B$20-Assumptions!$B$10)*3/9</f>
        <v>0.012458701096033396</v>
      </c>
      <c r="F19" s="9">
        <f>Assumptions!$B$10+($B$20-Assumptions!$B$10)*4/9</f>
        <v>0.013248649824095592</v>
      </c>
      <c r="G19" s="9">
        <f>Assumptions!$B$10+($B$20-Assumptions!$B$10)*5/9</f>
        <v>0.014038598552157788</v>
      </c>
      <c r="H19" s="9">
        <f>Assumptions!$B$10+($B$20-Assumptions!$B$10)*6/9</f>
        <v>0.014828547280219984</v>
      </c>
      <c r="I19" s="9">
        <f>Assumptions!$B$10+($B$20-Assumptions!$B$10)*7/9</f>
        <v>0.01561849600828218</v>
      </c>
      <c r="J19" s="9">
        <f>Assumptions!$B$10+($B$20-Assumptions!$B$10)*8/9</f>
        <v>0.016408444736344376</v>
      </c>
      <c r="K19" s="9">
        <f>Assumptions!$B$10+($B$20-Assumptions!$B$10)*9/9</f>
        <v>0.01719839346440657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0.01719839346440657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2773749875.84069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3398992951.678973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0.14539611811731987</v>
      </c>
    </row>
    <row r="7" spans="1:2" x14ac:dyDescent="0.25">
      <c r="A7" t="s">
        <v>66</v>
      </c>
      <c r="B7" s="18">
        <f>-MAX(B5,0)*B6</f>
        <v>-494200380.68225366</v>
      </c>
    </row>
    <row r="8" spans="1:2" x14ac:dyDescent="0.25">
      <c r="A8" t="s">
        <v>67</v>
      </c>
      <c r="B8" s="18">
        <f>IF(OR(Assumptions!$B$33=0,Assumptions!B12&lt;=0),B5,MAX(B5+B7,0))</f>
        <v>2904792570.9967194</v>
      </c>
    </row>
    <row r="9" spans="1:2" x14ac:dyDescent="0.25">
      <c r="A9" t="s">
        <v>68</v>
      </c>
      <c r="B9" s="18">
        <f>B8*(1+Assumptions!B12)/(Assumptions!B26-Assumptions!B12)</f>
        <v>64286437761.00754</v>
      </c>
    </row>
    <row r="10" spans="1:2" x14ac:dyDescent="0.25">
      <c r="A10" t="s">
        <v>69</v>
      </c>
      <c r="B10" s="18">
        <f>B9/(1+Assumptions!B26)^(10-0.5*Assumptions!B32)</f>
        <v>33412343256.508774</v>
      </c>
    </row>
    <row r="11" spans="1:2" x14ac:dyDescent="0.25">
      <c r="A11" t="s">
        <v>70</v>
      </c>
      <c r="B11" s="18">
        <f>Forecast!B17+B10</f>
        <v>53858532782.15548</v>
      </c>
    </row>
    <row r="12" spans="1:2" x14ac:dyDescent="0.25">
      <c r="A12" t="s">
        <v>71</v>
      </c>
      <c r="B12" s="18">
        <f>-Assumptions!B30</f>
        <v>-13181000000</v>
      </c>
    </row>
    <row r="13" spans="1:2" x14ac:dyDescent="0.25">
      <c r="A13" t="s">
        <v>72</v>
      </c>
      <c r="B13" s="18">
        <f>B11+B12</f>
        <v>40677532782.15548</v>
      </c>
    </row>
    <row r="14" spans="1:2" x14ac:dyDescent="0.25">
      <c r="A14" s="19" t="s">
        <v>73</v>
      </c>
      <c r="B14" s="24">
        <f>B13/Assumptions!B31</f>
        <v>84.63691210552862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5718121068.745989</v>
      </c>
    </row>
    <row r="18" spans="1:2" x14ac:dyDescent="0.25">
      <c r="A18" t="s">
        <v>68</v>
      </c>
      <c r="B18" s="18">
        <f>B17*Assumptions!B13</f>
        <v>73047731475.62445</v>
      </c>
    </row>
    <row r="19" spans="1:2" x14ac:dyDescent="0.25">
      <c r="A19" t="s">
        <v>69</v>
      </c>
      <c r="B19" s="18">
        <f>B18/(1+Assumptions!B26)^(10-0.5*Assumptions!B32)</f>
        <v>37965953056.01503</v>
      </c>
    </row>
    <row r="20" spans="1:2" x14ac:dyDescent="0.25">
      <c r="A20" t="s">
        <v>70</v>
      </c>
      <c r="B20" s="18">
        <f>Forecast!B17+B19</f>
        <v>58412142581.661736</v>
      </c>
    </row>
    <row r="21" spans="1:2" x14ac:dyDescent="0.25">
      <c r="A21" t="s">
        <v>71</v>
      </c>
      <c r="B21" s="18">
        <f>-Assumptions!B30</f>
        <v>-13181000000</v>
      </c>
    </row>
    <row r="22" spans="1:2" x14ac:dyDescent="0.25">
      <c r="A22" t="s">
        <v>72</v>
      </c>
      <c r="B22" s="18">
        <f>B20+B21</f>
        <v>45231142581.661736</v>
      </c>
    </row>
    <row r="23" spans="1:2" x14ac:dyDescent="0.25">
      <c r="A23" s="19" t="s">
        <v>73</v>
      </c>
      <c r="B23" s="25">
        <f>B22/Assumptions!B31</f>
        <v>94.1115150620962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82.9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84.63691210552862</v>
      </c>
    </row>
    <row r="29" spans="1:2" x14ac:dyDescent="0.25">
      <c r="A29" s="19" t="s">
        <v>81</v>
      </c>
      <c r="B29" s="11">
        <f>B28/B26-1</f>
        <v>0.020951895120972397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0.051315</v>
      </c>
      <c r="B5" s="31">
        <v>132.41559535158615</v>
      </c>
      <c r="C5" s="31">
        <v>146.11410729904887</v>
      </c>
      <c r="D5" s="31">
        <v>165.2303708957398</v>
      </c>
      <c r="E5" s="31">
        <v>193.5770192516015</v>
      </c>
      <c r="F5" s="31">
        <v>239.64046189084863</v>
      </c>
    </row>
    <row r="6" spans="1:6" x14ac:dyDescent="0.25">
      <c r="A6" s="30">
        <v>0.061315</v>
      </c>
      <c r="B6" s="31">
        <v>98.60229383035423</v>
      </c>
      <c r="C6" s="31">
        <v>105.24474527286704</v>
      </c>
      <c r="D6" s="31">
        <v>113.86150735968991</v>
      </c>
      <c r="E6" s="31">
        <v>125.39828213982985</v>
      </c>
      <c r="F6" s="31">
        <v>141.51952678219263</v>
      </c>
    </row>
    <row r="7" spans="1:6" x14ac:dyDescent="0.25">
      <c r="A7" s="30">
        <v>0.071315</v>
      </c>
      <c r="B7" s="31">
        <v>76.79730223544448</v>
      </c>
      <c r="C7" s="31">
        <v>80.28638516419808</v>
      </c>
      <c r="D7" s="32">
        <v>84.63641339144746</v>
      </c>
      <c r="E7" s="31">
        <v>90.15996538693581</v>
      </c>
      <c r="F7" s="31">
        <v>97.34176802725906</v>
      </c>
    </row>
    <row r="8" spans="1:6" x14ac:dyDescent="0.25">
      <c r="A8" s="30">
        <v>0.081315</v>
      </c>
      <c r="B8" s="31">
        <v>61.56759408114846</v>
      </c>
      <c r="C8" s="31">
        <v>63.454573145213686</v>
      </c>
      <c r="D8" s="31">
        <v>65.76035470550507</v>
      </c>
      <c r="E8" s="31">
        <v>68.60735983662835</v>
      </c>
      <c r="F8" s="31">
        <v>72.17087416014199</v>
      </c>
    </row>
    <row r="9" spans="1:6" x14ac:dyDescent="0.25">
      <c r="A9" s="30">
        <v>0.091315</v>
      </c>
      <c r="B9" s="31">
        <v>50.3279185649404</v>
      </c>
      <c r="C9" s="31">
        <v>51.331105424531636</v>
      </c>
      <c r="D9" s="31">
        <v>52.5528928534896</v>
      </c>
      <c r="E9" s="31">
        <v>54.04675893287941</v>
      </c>
      <c r="F9" s="31">
        <v>55.885174225721116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84553000000</v>
      </c>
      <c r="C5" s="18">
        <v>81370000000</v>
      </c>
      <c r="D5" s="18">
        <v>78844000000</v>
      </c>
      <c r="E5" s="18">
        <v>76325000000</v>
      </c>
      <c r="F5" s="6" t="s">
        <v>91</v>
      </c>
    </row>
    <row r="6" spans="1:6" x14ac:dyDescent="0.25">
      <c r="A6" t="s">
        <v>51</v>
      </c>
      <c r="B6" s="18">
        <v>3095000000</v>
      </c>
      <c r="C6" s="18">
        <v>3088000000</v>
      </c>
      <c r="D6" s="18">
        <v>3202000000</v>
      </c>
      <c r="E6" s="18">
        <v>3039000000</v>
      </c>
      <c r="F6" s="6" t="s">
        <v>92</v>
      </c>
    </row>
    <row r="7" spans="1:6" x14ac:dyDescent="0.25">
      <c r="A7" t="s">
        <v>93</v>
      </c>
      <c r="B7" s="18">
        <v>1129000000</v>
      </c>
      <c r="C7" s="18">
        <v>1086000000</v>
      </c>
      <c r="D7" s="18">
        <v>997000000</v>
      </c>
      <c r="E7" s="18">
        <v>889000000</v>
      </c>
      <c r="F7" s="6" t="s">
        <v>94</v>
      </c>
    </row>
    <row r="8" spans="1:6" x14ac:dyDescent="0.25">
      <c r="A8" t="s">
        <v>95</v>
      </c>
      <c r="B8" s="18">
        <v>700000000</v>
      </c>
      <c r="C8" s="18">
        <v>906000000</v>
      </c>
      <c r="D8" s="18">
        <v>832000000</v>
      </c>
      <c r="E8" s="18">
        <v>793000000</v>
      </c>
      <c r="F8" s="6" t="s">
        <v>96</v>
      </c>
    </row>
    <row r="9" spans="1:6" x14ac:dyDescent="0.25">
      <c r="A9" t="s">
        <v>97</v>
      </c>
      <c r="B9" s="18">
        <v>455000000</v>
      </c>
      <c r="C9" s="18">
        <v>576000000</v>
      </c>
      <c r="D9" s="18">
        <v>158000000</v>
      </c>
      <c r="E9" s="18">
        <v>235000000</v>
      </c>
      <c r="F9" s="6" t="s">
        <v>98</v>
      </c>
    </row>
    <row r="10" spans="1:6" x14ac:dyDescent="0.25">
      <c r="A10" t="s">
        <v>99</v>
      </c>
      <c r="B10" s="18">
        <v>14967000000</v>
      </c>
      <c r="C10" s="18">
        <v>14494000000</v>
      </c>
      <c r="D10" s="18">
        <v>12945000000</v>
      </c>
      <c r="E10" s="18">
        <v>11166000000</v>
      </c>
      <c r="F10" s="6" t="s">
        <v>100</v>
      </c>
    </row>
    <row r="11" spans="1:6" x14ac:dyDescent="0.25">
      <c r="A11" t="s">
        <v>101</v>
      </c>
      <c r="B11" s="18">
        <v>1786000000</v>
      </c>
      <c r="C11" s="18">
        <v>1071000000</v>
      </c>
      <c r="D11" s="18">
        <v>696000000</v>
      </c>
      <c r="E11" s="18">
        <v>745000000</v>
      </c>
      <c r="F11" s="6" t="s">
        <v>102</v>
      </c>
    </row>
    <row r="12" spans="1:6" x14ac:dyDescent="0.25">
      <c r="A12" t="s">
        <v>34</v>
      </c>
      <c r="B12" s="34">
        <v>480612203</v>
      </c>
      <c r="C12" s="34">
        <v>489825648</v>
      </c>
      <c r="D12" s="34">
        <v>503096086</v>
      </c>
      <c r="E12" s="34">
        <v>509719756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