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<sst xmlns="http://schemas.openxmlformats.org/spreadsheetml/2006/main" count="119" uniqueCount="106">
  <si>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AT&amp;T Inc. (T)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</si>
  <si>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</si>
  <si>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</si>
  <si>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</si>
  <si>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</si>
  <si>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</si>
  <si>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</si>
  <si>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</si>
  <si>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</si>
  <si>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</si>
  <si>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</si>
  <si>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</si>
  <si>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</si>
  <si>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</si>
  <si>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</si>
  <si>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</si>
  <si>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</si>
  <si>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</si>
  <si>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</si>
  <si>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</si>
  <si>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</si>
  <si>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</si>
  <si>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</si>
  <si>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</si>
  <si>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3.7x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</si>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</sst>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0.0348307692124028</v>
      </c>
    </row>
    <row r="7" spans="1:2" x14ac:dyDescent="0.25">
      <c r="A7" t="s">
        <v>4</v>
      </c>
      <c r="B7" s="5">
        <v>0.19682298362141637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0.15926915923628338</v>
      </c>
    </row>
    <row r="10" spans="1:3" x14ac:dyDescent="0.25">
      <c r="A10" t="s">
        <v>7</v>
      </c>
      <c r="B10" s="5">
        <v>0.1599702128180352</v>
      </c>
      <c r="C10" s="6" t="s">
        <v>8</v>
      </c>
    </row>
    <row r="11" spans="1:2" x14ac:dyDescent="0.25">
      <c r="A11" t="s">
        <v>9</v>
      </c>
      <c r="B11" s="5">
        <v>-0.131830062604816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6.124676224730854</v>
      </c>
    </row>
    <row r="14" spans="1:3" x14ac:dyDescent="0.25">
      <c r="A14" t="s">
        <v>12</v>
      </c>
      <c r="B14" s="5">
        <v>0.08050972585133949</v>
      </c>
      <c r="C14" s="6" t="s">
        <v>13</v>
      </c>
    </row>
    <row r="15" spans="1:3" x14ac:dyDescent="0.25">
      <c r="A15" t="s">
        <v>14</v>
      </c>
      <c r="B15" s="5">
        <v>0.13896316774884312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0.6261399999999999</v>
      </c>
      <c r="C19" s="6" t="s">
        <v>21</v>
      </c>
    </row>
    <row r="20" spans="1:2" x14ac:dyDescent="0.25">
      <c r="A20" t="s">
        <v>22</v>
      </c>
      <c r="B20" s="9">
        <f>B17+B19*B18</f>
        <v>0.075425722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144227893248</v>
      </c>
    </row>
    <row r="23" spans="1:2" x14ac:dyDescent="0.25">
      <c r="A23" t="s">
        <v>26</v>
      </c>
      <c r="B23" s="10">
        <v>155043000000</v>
      </c>
    </row>
    <row r="24" spans="1:2" x14ac:dyDescent="0.25">
      <c r="A24" t="s">
        <v>27</v>
      </c>
      <c r="B24" s="9">
        <f>B22/(B22+B23)</f>
        <v>0.4819309077561416</v>
      </c>
    </row>
    <row r="25" spans="1:2" x14ac:dyDescent="0.25">
      <c r="A25" t="s">
        <v>28</v>
      </c>
      <c r="B25" s="9">
        <f>1-B24</f>
        <v>0.5180690922438584</v>
      </c>
    </row>
    <row r="26" spans="1:2" x14ac:dyDescent="0.25">
      <c r="A26" t="s">
        <v>29</v>
      </c>
      <c r="B26" s="11">
        <f>B24*B20+B25*B21*(1-B8)</f>
        <v>0.06002242854497636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125648000000</v>
      </c>
      <c r="C29" s="6" t="s">
        <v>32</v>
      </c>
    </row>
    <row r="30" spans="1:2" x14ac:dyDescent="0.25">
      <c r="A30" t="s">
        <v>33</v>
      </c>
      <c r="B30" s="10">
        <v>136809000000</v>
      </c>
    </row>
    <row r="31" spans="1:2" x14ac:dyDescent="0.25">
      <c r="A31" t="s">
        <v>34</v>
      </c>
      <c r="B31" s="12">
        <v>7179000000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0.0348307692124028</v>
      </c>
      <c r="C5" s="5">
        <v>0.0006321902625598952</v>
      </c>
      <c r="D5" s="5">
        <v>0.0036781664797399085</v>
      </c>
      <c r="E5" s="5">
        <v>0.006724142696919922</v>
      </c>
      <c r="F5" s="5">
        <v>0.009770118914099936</v>
      </c>
      <c r="G5" s="5">
        <v>0.012816095131279948</v>
      </c>
      <c r="H5" s="5">
        <v>0.01586207134845996</v>
      </c>
      <c r="I5" s="5">
        <v>0.018908047565639977</v>
      </c>
      <c r="J5" s="5">
        <v>0.02195402378281999</v>
      </c>
      <c r="K5" s="5">
        <v>0.025</v>
      </c>
    </row>
    <row r="6" spans="1:11" x14ac:dyDescent="0.25">
      <c r="A6" t="s">
        <v>50</v>
      </c>
      <c r="B6" s="18">
        <f>Assumptions!B29*(1+B5)</f>
        <v>130024416489.99998</v>
      </c>
      <c r="C6" s="18">
        <f>B6*(1+C5)</f>
        <v>130106616660</v>
      </c>
      <c r="D6" s="18">
        <f>C6*(1+D5)</f>
        <v>130585170456.19118</v>
      </c>
      <c r="E6" s="18">
        <f>D6*(1+E5)</f>
        <v>131463243776.44023</v>
      </c>
      <c r="F6" s="18">
        <f>E6*(1+F5)</f>
        <v>132747655300.96936</v>
      </c>
      <c r="G6" s="18">
        <f>F6*(1+G5)</f>
        <v>134448961879.76094</v>
      </c>
      <c r="H6" s="18">
        <f>G6*(1+H5)</f>
        <v>136581600905.82407</v>
      </c>
      <c r="I6" s="18">
        <f>H6*(1+I5)</f>
        <v>139164092312.34265</v>
      </c>
      <c r="J6" s="18">
        <f>I6*(1+J5)</f>
        <v>142219304104.68237</v>
      </c>
      <c r="K6" s="18">
        <f>J6*(1+K5)</f>
        <v>145774786707.2994</v>
      </c>
    </row>
    <row r="7" spans="1:11" x14ac:dyDescent="0.25">
      <c r="A7" t="s">
        <v>4</v>
      </c>
      <c r="B7" s="9">
        <f>Assumptions!B7</f>
        <v>0.19682298362141637</v>
      </c>
      <c r="C7" s="9">
        <f>Assumptions!B7</f>
        <v>0.19682298362141637</v>
      </c>
      <c r="D7" s="9">
        <f>Assumptions!B7</f>
        <v>0.19682298362141637</v>
      </c>
      <c r="E7" s="9">
        <f>Assumptions!B7</f>
        <v>0.19682298362141637</v>
      </c>
      <c r="F7" s="9">
        <f>Assumptions!B7</f>
        <v>0.19682298362141637</v>
      </c>
      <c r="G7" s="9">
        <f>Assumptions!B7</f>
        <v>0.19682298362141637</v>
      </c>
      <c r="H7" s="9">
        <f>Assumptions!B7</f>
        <v>0.19682298362141637</v>
      </c>
      <c r="I7" s="9">
        <f>Assumptions!B7</f>
        <v>0.19682298362141637</v>
      </c>
      <c r="J7" s="9">
        <f>Assumptions!B7</f>
        <v>0.19682298362141637</v>
      </c>
      <c r="K7" s="9">
        <f>Assumptions!B7</f>
        <v>0.19682298362141637</v>
      </c>
    </row>
    <row r="8" spans="1:11" x14ac:dyDescent="0.25">
      <c r="A8" t="s">
        <v>51</v>
      </c>
      <c r="B8" s="18">
        <f>B6*B7</f>
        <v>25591793597.195488</v>
      </c>
      <c r="C8" s="18">
        <f>C6*C7</f>
        <v>25607972479.909077</v>
      </c>
      <c r="D8" s="18">
        <f>D6*D7</f>
        <v>25702162865.89878</v>
      </c>
      <c r="E8" s="18">
        <f>E6*E7</f>
        <v>25874987876.628563</v>
      </c>
      <c r="F8" s="18">
        <f>F6*F7</f>
        <v>26127789585.084118</v>
      </c>
      <c r="G8" s="18">
        <f>G6*G7</f>
        <v>26462645821.97662</v>
      </c>
      <c r="H8" s="18">
        <f>H6*H7</f>
        <v>26882398198.073837</v>
      </c>
      <c r="I8" s="18">
        <f>I6*I7</f>
        <v>27390691861.881493</v>
      </c>
      <c r="J8" s="18">
        <f>J6*J7</f>
        <v>27992027762.445133</v>
      </c>
      <c r="K8" s="18">
        <f>K6*K7</f>
        <v>28691828456.506256</v>
      </c>
    </row>
    <row r="9" spans="1:11" x14ac:dyDescent="0.25">
      <c r="A9" t="s">
        <v>52</v>
      </c>
      <c r="B9" s="18">
        <f>B8*(1-Assumptions!B8)</f>
        <v>20217516941.784435</v>
      </c>
      <c r="C9" s="18">
        <f>C8*(1-Assumptions!B8)</f>
        <v>20230298259.12817</v>
      </c>
      <c r="D9" s="18">
        <f>D8*(1-Assumptions!B8)</f>
        <v>20304708664.06004</v>
      </c>
      <c r="E9" s="18">
        <f>E8*(1-Assumptions!B8)</f>
        <v>20441240422.536564</v>
      </c>
      <c r="F9" s="18">
        <f>F8*(1-Assumptions!B8)</f>
        <v>20640953772.216454</v>
      </c>
      <c r="G9" s="18">
        <f>G8*(1-Assumptions!B8)</f>
        <v>20905490199.36153</v>
      </c>
      <c r="H9" s="18">
        <f>H8*(1-Assumptions!B8)</f>
        <v>21237094576.478333</v>
      </c>
      <c r="I9" s="18">
        <f>I8*(1-Assumptions!B8)</f>
        <v>21638646570.88638</v>
      </c>
      <c r="J9" s="18">
        <f>J8*(1-Assumptions!B8)</f>
        <v>22113701932.331657</v>
      </c>
      <c r="K9" s="18">
        <f>K8*(1-Assumptions!B8)</f>
        <v>22666544480.639942</v>
      </c>
    </row>
    <row r="10" spans="1:11" x14ac:dyDescent="0.25">
      <c r="A10" t="s">
        <v>53</v>
      </c>
      <c r="B10" s="18">
        <f>B6*Assumptions!B9</f>
        <v>20708879494.550636</v>
      </c>
      <c r="C10" s="18">
        <f>C6*Assumptions!B9</f>
        <v>20721971446.51562</v>
      </c>
      <c r="D10" s="18">
        <f>D6*Assumptions!B9</f>
        <v>20798190307.28432</v>
      </c>
      <c r="E10" s="18">
        <f>E6*Assumptions!B9</f>
        <v>20938040306.7482</v>
      </c>
      <c r="F10" s="18">
        <f>F6*Assumptions!B9</f>
        <v>21142607450.373344</v>
      </c>
      <c r="G10" s="18">
        <f>G6*Assumptions!B9</f>
        <v>21413573118.78064</v>
      </c>
      <c r="H10" s="18">
        <f>H6*Assumptions!B9</f>
        <v>21753236743.4162</v>
      </c>
      <c r="I10" s="18">
        <f>I6*Assumptions!B9</f>
        <v>22164547978.467342</v>
      </c>
      <c r="J10" s="18">
        <f>J6*Assumptions!B9</f>
        <v>22651148991.922066</v>
      </c>
      <c r="K10" s="18">
        <f>K6*Assumptions!B9</f>
        <v>23217427716.720116</v>
      </c>
    </row>
    <row r="11" spans="1:11" x14ac:dyDescent="0.25">
      <c r="A11" t="s">
        <v>54</v>
      </c>
      <c r="B11" s="18">
        <f>-B6*B19</f>
        <v>-20800033577.446144</v>
      </c>
      <c r="C11" s="18">
        <f>-C6*C19</f>
        <v>-21279503962.730175</v>
      </c>
      <c r="D11" s="18">
        <f>-D6*D19</f>
        <v>-21825809533.066456</v>
      </c>
      <c r="E11" s="18">
        <f>-E6*E19</f>
        <v>-22443752543.9307</v>
      </c>
      <c r="F11" s="18">
        <f>-F6*F19</f>
        <v>-23138817343.687626</v>
      </c>
      <c r="G11" s="18">
        <f>-G6*G19</f>
        <v>-23917251023.719734</v>
      </c>
      <c r="H11" s="18">
        <f>-H6*H19</f>
        <v>-24786156246.313873</v>
      </c>
      <c r="I11" s="18">
        <f>-I6*I19</f>
        <v>-25753598168.214302</v>
      </c>
      <c r="J11" s="18">
        <f>-J6*J19</f>
        <v>-26828727693.52583</v>
      </c>
      <c r="K11" s="18">
        <f>-K6*K19</f>
        <v>-28021923664.963173</v>
      </c>
    </row>
    <row r="12" spans="1:11" x14ac:dyDescent="0.25">
      <c r="A12" t="s">
        <v>55</v>
      </c>
      <c r="B12" s="18">
        <f>-(B6-Assumptions!B29)*Assumptions!B11</f>
        <v>576943259.8614471</v>
      </c>
      <c r="C12" s="18">
        <f>-(C6-B6)*Assumptions!B11</f>
        <v>10836453.55722853</v>
      </c>
      <c r="D12" s="18">
        <f>-(D6-C6)*Assumptions!B11</f>
        <v>63087776.91165527</v>
      </c>
      <c r="E12" s="18">
        <f>-(E6-D6)*Assumptions!B11</f>
        <v>115756460.78005143</v>
      </c>
      <c r="F12" s="18">
        <f>-(F6-E6)*Assumptions!B11</f>
        <v>169324051.68902224</v>
      </c>
      <c r="G12" s="18">
        <f>-(G6-F6)*Assumptions!B11</f>
        <v>224283352.79207933</v>
      </c>
      <c r="H12" s="18">
        <f>-(H6-G6)*Assumptions!B11</f>
        <v>281145936.3193757</v>
      </c>
      <c r="I12" s="18">
        <f>-(I6-H6)*Assumptions!B11</f>
        <v>340450003.7977444</v>
      </c>
      <c r="J12" s="18">
        <f>-(J6-I6)*Assumptions!B11</f>
        <v>402768761.8551176</v>
      </c>
      <c r="K12" s="18">
        <f>-(K6-J6)*Assumptions!B11</f>
        <v>468719494.09333783</v>
      </c>
    </row>
    <row r="13" spans="1:11" x14ac:dyDescent="0.25">
      <c r="A13" s="19" t="s">
        <v>56</v>
      </c>
      <c r="B13" s="20">
        <f>B9+B10+B11+B12</f>
        <v>20703306118.75037</v>
      </c>
      <c r="C13" s="20">
        <f>C9+C10+C11+C12</f>
        <v>19683602196.470844</v>
      </c>
      <c r="D13" s="20">
        <f>D9+D10+D11+D12</f>
        <v>19340177215.18956</v>
      </c>
      <c r="E13" s="20">
        <f>E9+E10+E11+E12</f>
        <v>19051284646.134113</v>
      </c>
      <c r="F13" s="20">
        <f>F9+F10+F11+F12</f>
        <v>18814067930.591194</v>
      </c>
      <c r="G13" s="20">
        <f>G9+G10+G11+G12</f>
        <v>18626095647.21451</v>
      </c>
      <c r="H13" s="20">
        <f>H9+H10+H11+H12</f>
        <v>18485321009.900032</v>
      </c>
      <c r="I13" s="20">
        <f>I9+I10+I11+I12</f>
        <v>18390046384.937164</v>
      </c>
      <c r="J13" s="20">
        <f>J9+J10+J11+J12</f>
        <v>18338891992.58301</v>
      </c>
      <c r="K13" s="20">
        <f>K9+K10+K11+K12</f>
        <v>18330768026.490227</v>
      </c>
    </row>
    <row r="14" spans="1:11" x14ac:dyDescent="0.25">
      <c r="A14" t="s">
        <v>57</v>
      </c>
      <c r="B14" s="21">
        <f>1/(1+Assumptions!$B$26)^(1-0.5*Assumptions!$B$32)</f>
        <v>0.9712755867992686</v>
      </c>
      <c r="C14" s="21">
        <f>1/(1+Assumptions!$B$26)^(2-0.5*Assumptions!$B$32)</f>
        <v>0.9162783358579263</v>
      </c>
      <c r="D14" s="21">
        <f>1/(1+Assumptions!$B$26)^(3-0.5*Assumptions!$B$32)</f>
        <v>0.864395234651442</v>
      </c>
      <c r="E14" s="21">
        <f>1/(1+Assumptions!$B$26)^(4-0.5*Assumptions!$B$32)</f>
        <v>0.815449948392074</v>
      </c>
      <c r="F14" s="21">
        <f>1/(1+Assumptions!$B$26)^(5-0.5*Assumptions!$B$32)</f>
        <v>0.7692761270262828</v>
      </c>
      <c r="G14" s="21">
        <f>1/(1+Assumptions!$B$26)^(6-0.5*Assumptions!$B$32)</f>
        <v>0.7257168398617923</v>
      </c>
      <c r="H14" s="21">
        <f>1/(1+Assumptions!$B$26)^(7-0.5*Assumptions!$B$32)</f>
        <v>0.6846240422081789</v>
      </c>
      <c r="I14" s="21">
        <f>1/(1+Assumptions!$B$26)^(8-0.5*Assumptions!$B$32)</f>
        <v>0.6458580722182621</v>
      </c>
      <c r="J14" s="21">
        <f>1/(1+Assumptions!$B$26)^(9-0.5*Assumptions!$B$32)</f>
        <v>0.6092871762202139</v>
      </c>
      <c r="K14" s="21">
        <f>1/(1+Assumptions!$B$26)^(10-0.5*Assumptions!$B$32)</f>
        <v>0.5747870609271377</v>
      </c>
    </row>
    <row r="15" spans="1:11" x14ac:dyDescent="0.25">
      <c r="A15" s="19" t="s">
        <v>58</v>
      </c>
      <c r="B15" s="20">
        <f>B13*B14</f>
        <v>20108615799.174152</v>
      </c>
      <c r="C15" s="20">
        <f>C13*C14</f>
        <v>18035658264.27173</v>
      </c>
      <c r="D15" s="20">
        <f>D13*D14</f>
        <v>16717557022.12425</v>
      </c>
      <c r="E15" s="20">
        <f>E13*E14</f>
        <v>15535369081.492773</v>
      </c>
      <c r="F15" s="20">
        <f>F13*F14</f>
        <v>14473213311.254585</v>
      </c>
      <c r="G15" s="20">
        <f>G13*G14</f>
        <v>13517271272.06</v>
      </c>
      <c r="H15" s="20">
        <f>H13*H14</f>
        <v>12655495191.313536</v>
      </c>
      <c r="I15" s="20">
        <f>I13*I14</f>
        <v>11877359906.179937</v>
      </c>
      <c r="J15" s="20">
        <f>J13*J14</f>
        <v>11173651717.168394</v>
      </c>
      <c r="K15" s="20">
        <f>K13*K14</f>
        <v>10536288278.483465</v>
      </c>
    </row>
    <row r="17" spans="1:2" x14ac:dyDescent="0.25">
      <c r="A17" s="22" t="s">
        <v>59</v>
      </c>
      <c r="B17" s="23">
        <f>SUM(B15:K15)</f>
        <v>144630479843.5228</v>
      </c>
    </row>
    <row r="19" spans="1:11" x14ac:dyDescent="0.25">
      <c r="A19" t="s">
        <v>7</v>
      </c>
      <c r="B19" s="9">
        <f>Assumptions!$B$10+($B$20-Assumptions!$B$10)*0/9</f>
        <v>0.1599702128180352</v>
      </c>
      <c r="C19" s="9">
        <f>Assumptions!$B$10+($B$20-Assumptions!$B$10)*1/9</f>
        <v>0.1635543564885609</v>
      </c>
      <c r="D19" s="9">
        <f>Assumptions!$B$10+($B$20-Assumptions!$B$10)*2/9</f>
        <v>0.16713850015908657</v>
      </c>
      <c r="E19" s="9">
        <f>Assumptions!$B$10+($B$20-Assumptions!$B$10)*3/9</f>
        <v>0.17072264382961228</v>
      </c>
      <c r="F19" s="9">
        <f>Assumptions!$B$10+($B$20-Assumptions!$B$10)*4/9</f>
        <v>0.17430678750013795</v>
      </c>
      <c r="G19" s="9">
        <f>Assumptions!$B$10+($B$20-Assumptions!$B$10)*5/9</f>
        <v>0.17789093117066365</v>
      </c>
      <c r="H19" s="9">
        <f>Assumptions!$B$10+($B$20-Assumptions!$B$10)*6/9</f>
        <v>0.18147507484118933</v>
      </c>
      <c r="I19" s="9">
        <f>Assumptions!$B$10+($B$20-Assumptions!$B$10)*7/9</f>
        <v>0.18505921851171503</v>
      </c>
      <c r="J19" s="9">
        <f>Assumptions!$B$10+($B$20-Assumptions!$B$10)*8/9</f>
        <v>0.1886433621822407</v>
      </c>
      <c r="K19" s="9">
        <f>Assumptions!$B$10+($B$20-Assumptions!$B$10)*9/9</f>
        <v>0.1922275058527664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0.1922275058527664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18330768026.490227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25005024727.229797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0.31052148961682324</v>
      </c>
    </row>
    <row r="7" spans="1:2" x14ac:dyDescent="0.25">
      <c r="A7" t="s">
        <v>66</v>
      </c>
      <c r="B7" s="18">
        <f>-MAX(B5,0)*B6</f>
        <v>-7764597526.204896</v>
      </c>
    </row>
    <row r="8" spans="1:2" x14ac:dyDescent="0.25">
      <c r="A8" t="s">
        <v>67</v>
      </c>
      <c r="B8" s="18">
        <f>IF(OR(Assumptions!$B$33=0,Assumptions!B12&lt;=0),B5,MAX(B5+B7,0))</f>
        <v>17240427201.024902</v>
      </c>
    </row>
    <row r="9" spans="1:2" x14ac:dyDescent="0.25">
      <c r="A9" t="s">
        <v>68</v>
      </c>
      <c r="B9" s="18">
        <f>B8*(1+Assumptions!B12)/(Assumptions!B26-Assumptions!B12)</f>
        <v>504574885729.48566</v>
      </c>
    </row>
    <row r="10" spans="1:2" x14ac:dyDescent="0.25">
      <c r="A10" t="s">
        <v>69</v>
      </c>
      <c r="B10" s="18">
        <f>B9/(1+Assumptions!B26)^(10-0.5*Assumptions!B32)</f>
        <v>290023115586.0974</v>
      </c>
    </row>
    <row r="11" spans="1:2" x14ac:dyDescent="0.25">
      <c r="A11" t="s">
        <v>70</v>
      </c>
      <c r="B11" s="18">
        <f>Forecast!B17+B10</f>
        <v>434653595429.62024</v>
      </c>
    </row>
    <row r="12" spans="1:2" x14ac:dyDescent="0.25">
      <c r="A12" t="s">
        <v>71</v>
      </c>
      <c r="B12" s="18">
        <f>-Assumptions!B30</f>
        <v>-136809000000</v>
      </c>
    </row>
    <row r="13" spans="1:2" x14ac:dyDescent="0.25">
      <c r="A13" t="s">
        <v>72</v>
      </c>
      <c r="B13" s="18">
        <f>B11+B12</f>
        <v>297844595429.62024</v>
      </c>
    </row>
    <row r="14" spans="1:2" x14ac:dyDescent="0.25">
      <c r="A14" s="19" t="s">
        <v>73</v>
      </c>
      <c r="B14" s="24">
        <f>B13/Assumptions!B31</f>
        <v>41.48831249890239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51909256173.22637</v>
      </c>
    </row>
    <row r="18" spans="1:2" x14ac:dyDescent="0.25">
      <c r="A18" t="s">
        <v>68</v>
      </c>
      <c r="B18" s="18">
        <f>B17*Assumptions!B13</f>
        <v>317927387127.62286</v>
      </c>
    </row>
    <row r="19" spans="1:2" x14ac:dyDescent="0.25">
      <c r="A19" t="s">
        <v>69</v>
      </c>
      <c r="B19" s="18">
        <f>B18/(1+Assumptions!B26)^(10-0.5*Assumptions!B32)</f>
        <v>182740548435.33066</v>
      </c>
    </row>
    <row r="20" spans="1:2" x14ac:dyDescent="0.25">
      <c r="A20" t="s">
        <v>70</v>
      </c>
      <c r="B20" s="18">
        <f>Forecast!B17+B19</f>
        <v>327371028278.85345</v>
      </c>
    </row>
    <row r="21" spans="1:2" x14ac:dyDescent="0.25">
      <c r="A21" t="s">
        <v>71</v>
      </c>
      <c r="B21" s="18">
        <f>-Assumptions!B30</f>
        <v>-136809000000</v>
      </c>
    </row>
    <row r="22" spans="1:2" x14ac:dyDescent="0.25">
      <c r="A22" t="s">
        <v>72</v>
      </c>
      <c r="B22" s="18">
        <f>B20+B21</f>
        <v>190562028278.85345</v>
      </c>
    </row>
    <row r="23" spans="1:2" x14ac:dyDescent="0.25">
      <c r="A23" s="19" t="s">
        <v>73</v>
      </c>
      <c r="B23" s="25">
        <f>B22/Assumptions!B31</f>
        <v>26.544369449624384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21.41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41.48831249890239</v>
      </c>
    </row>
    <row r="29" spans="1:2" x14ac:dyDescent="0.25">
      <c r="A29" s="19" t="s">
        <v>81</v>
      </c>
      <c r="B29" s="11">
        <f>B28/B26-1</f>
        <v>0.9378006772023535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0.040022</v>
      </c>
      <c r="B5" s="31">
        <v>83.65240894449917</v>
      </c>
      <c r="C5" s="31">
        <v>95.53828522305962</v>
      </c>
      <c r="D5" s="31">
        <v>115.76077501579339</v>
      </c>
      <c r="E5" s="31">
        <v>156.79734816031774</v>
      </c>
      <c r="F5" s="31">
        <v>280.8167123979431</v>
      </c>
    </row>
    <row r="6" spans="1:6" x14ac:dyDescent="0.25">
      <c r="A6" s="30">
        <v>0.050022</v>
      </c>
      <c r="B6" s="31">
        <v>55.09502787141631</v>
      </c>
      <c r="C6" s="31">
        <v>58.63580680038542</v>
      </c>
      <c r="D6" s="31">
        <v>63.832054723014025</v>
      </c>
      <c r="E6" s="31">
        <v>71.92400912331439</v>
      </c>
      <c r="F6" s="31">
        <v>85.80313566265498</v>
      </c>
    </row>
    <row r="7" spans="1:6" x14ac:dyDescent="0.25">
      <c r="A7" s="30">
        <v>0.060022</v>
      </c>
      <c r="B7" s="31">
        <v>39.20039620068956</v>
      </c>
      <c r="C7" s="31">
        <v>40.1307493253945</v>
      </c>
      <c r="D7" s="32">
        <v>41.48899799096501</v>
      </c>
      <c r="E7" s="31">
        <v>43.488933187774265</v>
      </c>
      <c r="F7" s="31">
        <v>46.515228321968095</v>
      </c>
    </row>
    <row r="8" spans="1:6" x14ac:dyDescent="0.25">
      <c r="A8" s="30">
        <v>0.070022</v>
      </c>
      <c r="B8" s="31">
        <v>29.066033296531796</v>
      </c>
      <c r="C8" s="31">
        <v>28.99248997816765</v>
      </c>
      <c r="D8" s="31">
        <v>29.021939278401657</v>
      </c>
      <c r="E8" s="31">
        <v>29.192982198657337</v>
      </c>
      <c r="F8" s="31">
        <v>29.566263599317455</v>
      </c>
    </row>
    <row r="9" spans="1:6" x14ac:dyDescent="0.25">
      <c r="A9" s="30">
        <v>0.080022</v>
      </c>
      <c r="B9" s="31">
        <v>22.035547241911647</v>
      </c>
      <c r="C9" s="31">
        <v>21.541210324135754</v>
      </c>
      <c r="D9" s="31">
        <v>21.0494271452487</v>
      </c>
      <c r="E9" s="31">
        <v>20.560963489971886</v>
      </c>
      <c r="F9" s="31">
        <v>20.07692532548034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125648000000</v>
      </c>
      <c r="C5" s="18">
        <v>122336000000</v>
      </c>
      <c r="D5" s="18">
        <v>122428000000</v>
      </c>
      <c r="E5" s="18">
        <v>120741000000</v>
      </c>
      <c r="F5" s="6" t="s">
        <v>91</v>
      </c>
    </row>
    <row r="6" spans="1:6" x14ac:dyDescent="0.25">
      <c r="A6" t="s">
        <v>51</v>
      </c>
      <c r="B6" s="18">
        <v>25000000000</v>
      </c>
      <c r="C6" s="18">
        <v>24124000000</v>
      </c>
      <c r="D6" s="18">
        <v>24654000000</v>
      </c>
      <c r="E6" s="18">
        <v>22911000000</v>
      </c>
      <c r="F6" s="6" t="s">
        <v>92</v>
      </c>
    </row>
    <row r="7" spans="1:6" x14ac:dyDescent="0.25">
      <c r="A7" t="s">
        <v>93</v>
      </c>
      <c r="B7" s="18">
        <v>20886000000</v>
      </c>
      <c r="C7" s="18">
        <v>20580000000</v>
      </c>
      <c r="D7" s="18">
        <v>18777000000</v>
      </c>
      <c r="E7" s="18">
        <v>18021000000</v>
      </c>
      <c r="F7" s="6" t="s">
        <v>94</v>
      </c>
    </row>
    <row r="8" spans="1:6" x14ac:dyDescent="0.25">
      <c r="A8" t="s">
        <v>95</v>
      </c>
      <c r="B8" s="18">
        <v>20842000000</v>
      </c>
      <c r="C8" s="18">
        <v>20263000000</v>
      </c>
      <c r="D8" s="18">
        <v>17853000000</v>
      </c>
      <c r="E8" s="18">
        <v>19626000000</v>
      </c>
      <c r="F8" s="6" t="s">
        <v>96</v>
      </c>
    </row>
    <row r="9" spans="1:6" x14ac:dyDescent="0.25">
      <c r="A9" t="s">
        <v>97</v>
      </c>
      <c r="B9" s="18">
        <v>-240000000</v>
      </c>
      <c r="C9" s="18">
        <v>619000000</v>
      </c>
      <c r="D9" s="18">
        <v>-734000000</v>
      </c>
      <c r="E9" s="18">
        <v>1849000000</v>
      </c>
      <c r="F9" s="6" t="s">
        <v>98</v>
      </c>
    </row>
    <row r="10" spans="1:6" x14ac:dyDescent="0.25">
      <c r="A10" t="s">
        <v>99</v>
      </c>
      <c r="B10" s="18">
        <v>155043000000</v>
      </c>
      <c r="C10" s="18">
        <v>140923000000</v>
      </c>
      <c r="D10" s="18">
        <v>154899000000</v>
      </c>
      <c r="E10" s="18">
        <v>154679000000</v>
      </c>
      <c r="F10" s="6" t="s">
        <v>100</v>
      </c>
    </row>
    <row r="11" spans="1:6" x14ac:dyDescent="0.25">
      <c r="A11" t="s">
        <v>101</v>
      </c>
      <c r="B11" s="18">
        <v>18234000000</v>
      </c>
      <c r="C11" s="18">
        <v>3298000000</v>
      </c>
      <c r="D11" s="18">
        <v>6722000000</v>
      </c>
      <c r="E11" s="18">
        <v>3701000000</v>
      </c>
      <c r="F11" s="6" t="s">
        <v>102</v>
      </c>
    </row>
    <row r="12" spans="1:6" x14ac:dyDescent="0.25">
      <c r="A12" t="s">
        <v>34</v>
      </c>
      <c r="B12" s="34">
        <v>7179000000</v>
      </c>
      <c r="C12" s="34">
        <v>7204000000</v>
      </c>
      <c r="D12" s="34">
        <v>7258000000</v>
      </c>
      <c r="E12" s="34">
        <v>7587000000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