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<sst xmlns="http://schemas.openxmlformats.org/spreadsheetml/2006/main" count="113" uniqueCount="101">
  <si>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TELUS Corporation (T.TO)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</si>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</sst>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0.03611020002266785</v>
      </c>
    </row>
    <row r="7" spans="1:2" x14ac:dyDescent="0.25">
      <c r="A7" t="s">
        <v>5</v>
      </c>
      <c r="B7" s="6">
        <v>0.1321860253290616</v>
      </c>
    </row>
    <row r="8" spans="1:2" x14ac:dyDescent="0.25">
      <c r="A8" t="s">
        <v>6</v>
      </c>
      <c r="B8" s="6">
        <v>0.248138468746756</v>
      </c>
    </row>
    <row r="9" spans="1:2" x14ac:dyDescent="0.25">
      <c r="A9" t="s">
        <v>7</v>
      </c>
      <c r="B9" s="6">
        <v>0.19680348508102907</v>
      </c>
    </row>
    <row r="10" spans="1:2" x14ac:dyDescent="0.25">
      <c r="A10" t="s">
        <v>8</v>
      </c>
      <c r="B10" s="6">
        <v>0.16291982775661487</v>
      </c>
    </row>
    <row r="11" spans="1:2" x14ac:dyDescent="0.25">
      <c r="A11" t="s">
        <v>9</v>
      </c>
      <c r="B11" s="6">
        <v>0.3222416812609457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7.145688570158542</v>
      </c>
    </row>
    <row r="14" spans="1:3" x14ac:dyDescent="0.25">
      <c r="A14" t="s">
        <v>12</v>
      </c>
      <c r="B14" s="6">
        <v>0.05295620595560279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0.82178</v>
      </c>
      <c r="C19" s="8" t="s">
        <v>19</v>
      </c>
    </row>
    <row r="20" spans="1:2" x14ac:dyDescent="0.25">
      <c r="A20" t="s">
        <v>20</v>
      </c>
      <c r="B20" s="10">
        <f>B17+B19*B18</f>
        <v>0.0781979</v>
      </c>
    </row>
    <row r="21" spans="1:3" x14ac:dyDescent="0.25">
      <c r="A21" t="s">
        <v>21</v>
      </c>
      <c r="B21" s="6">
        <v>0.049742794153670285</v>
      </c>
      <c r="C21" s="8" t="s">
        <v>22</v>
      </c>
    </row>
    <row r="22" spans="1:2" x14ac:dyDescent="0.25">
      <c r="A22" t="s">
        <v>23</v>
      </c>
      <c r="B22" s="11">
        <v>19388252160</v>
      </c>
    </row>
    <row r="23" spans="1:2" x14ac:dyDescent="0.25">
      <c r="A23" t="s">
        <v>24</v>
      </c>
      <c r="B23" s="11">
        <v>31459000000</v>
      </c>
    </row>
    <row r="24" spans="1:2" x14ac:dyDescent="0.25">
      <c r="A24" t="s">
        <v>25</v>
      </c>
      <c r="B24" s="10">
        <f>B22/(B22+B23)</f>
        <v>0.3813038332728657</v>
      </c>
    </row>
    <row r="25" spans="1:2" x14ac:dyDescent="0.25">
      <c r="A25" t="s">
        <v>26</v>
      </c>
      <c r="B25" s="10">
        <f>1-B24</f>
        <v>0.6186961667271342</v>
      </c>
    </row>
    <row r="26" spans="1:2" x14ac:dyDescent="0.25">
      <c r="A26" t="s">
        <v>27</v>
      </c>
      <c r="B26" s="12">
        <f>B24*B20+B25*B21*(1-B8)</f>
        <v>0.05295620595560279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20346000000</v>
      </c>
      <c r="C29" s="8" t="s">
        <v>30</v>
      </c>
    </row>
    <row r="30" spans="1:2" x14ac:dyDescent="0.25">
      <c r="A30" t="s">
        <v>31</v>
      </c>
      <c r="B30" s="11">
        <v>28838000000</v>
      </c>
    </row>
    <row r="31" spans="1:2" x14ac:dyDescent="0.25">
      <c r="A31" t="s">
        <v>32</v>
      </c>
      <c r="B31" s="13">
        <v>1535000000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0.03611020002266785</v>
      </c>
      <c r="C5" s="10">
        <f>Assumptions!B6</f>
        <v>0.03611020002266785</v>
      </c>
      <c r="D5" s="10">
        <f>Assumptions!B6</f>
        <v>0.03611020002266785</v>
      </c>
      <c r="E5" s="10">
        <f>Assumptions!B6</f>
        <v>0.03611020002266785</v>
      </c>
      <c r="F5" s="10">
        <f>Assumptions!B6</f>
        <v>0.03611020002266785</v>
      </c>
    </row>
    <row r="6" spans="1:6" x14ac:dyDescent="0.25">
      <c r="A6" t="s">
        <v>43</v>
      </c>
      <c r="B6" s="18">
        <f>Assumptions!B29*(1+B5)</f>
        <v>21080698129.6612</v>
      </c>
      <c r="C6" s="18">
        <f>B6*(1+C5)</f>
        <v>21841926355.74075</v>
      </c>
      <c r="D6" s="18">
        <f>C6*(1+D5)</f>
        <v>22630642685.326927</v>
      </c>
      <c r="E6" s="18">
        <f>D6*(1+E5)</f>
        <v>23447839719.33561</v>
      </c>
      <c r="F6" s="18">
        <f>E6*(1+F5)</f>
        <v>24294545901.700275</v>
      </c>
    </row>
    <row r="7" spans="1:6" x14ac:dyDescent="0.25">
      <c r="A7" t="s">
        <v>5</v>
      </c>
      <c r="B7" s="10">
        <f>Assumptions!B7</f>
        <v>0.1321860253290616</v>
      </c>
      <c r="C7" s="10">
        <f>Assumptions!B7</f>
        <v>0.1321860253290616</v>
      </c>
      <c r="D7" s="10">
        <f>Assumptions!B7</f>
        <v>0.1321860253290616</v>
      </c>
      <c r="E7" s="10">
        <f>Assumptions!B7</f>
        <v>0.1321860253290616</v>
      </c>
      <c r="F7" s="10">
        <f>Assumptions!B7</f>
        <v>0.1321860253290616</v>
      </c>
    </row>
    <row r="8" spans="1:6" x14ac:dyDescent="0.25">
      <c r="A8" t="s">
        <v>44</v>
      </c>
      <c r="B8" s="18">
        <f>B6*B7</f>
        <v>2786573696.921697</v>
      </c>
      <c r="C8" s="18">
        <f>C6*C7</f>
        <v>2887197430.495445</v>
      </c>
      <c r="D8" s="18">
        <f>D6*D7</f>
        <v>2991454707.2155676</v>
      </c>
      <c r="E8" s="18">
        <f>E6*E7</f>
        <v>3099476735.051873</v>
      </c>
      <c r="F8" s="18">
        <f>F6*F7</f>
        <v>3211399459.9202023</v>
      </c>
    </row>
    <row r="9" spans="1:6" x14ac:dyDescent="0.25">
      <c r="A9" t="s">
        <v>45</v>
      </c>
      <c r="B9" s="18">
        <f>B8*(1-Assumptions!B8)</f>
        <v>2095117566.71756</v>
      </c>
      <c r="C9" s="18">
        <f>C8*(1-Assumptions!B8)</f>
        <v>2170772681.1227365</v>
      </c>
      <c r="D9" s="18">
        <f>D8*(1-Assumptions!B8)</f>
        <v>2249159716.841821</v>
      </c>
      <c r="E9" s="18">
        <f>E8*(1-Assumptions!B8)</f>
        <v>2330377324.0999064</v>
      </c>
      <c r="F9" s="18">
        <f>F8*(1-Assumptions!B8)</f>
        <v>2414527715.401444</v>
      </c>
    </row>
    <row r="10" spans="1:6" x14ac:dyDescent="0.25">
      <c r="A10" t="s">
        <v>46</v>
      </c>
      <c r="B10" s="18">
        <f>B6*Assumptions!B9</f>
        <v>4148754859.8584557</v>
      </c>
      <c r="C10" s="18">
        <f>C6*Assumptions!B9</f>
        <v>4298567227.692961</v>
      </c>
      <c r="D10" s="18">
        <f>D6*Assumptions!B9</f>
        <v>4453789350.095838</v>
      </c>
      <c r="E10" s="18">
        <f>E6*Assumptions!B9</f>
        <v>4614616574.386626</v>
      </c>
      <c r="F10" s="18">
        <f>F6*Assumptions!B9</f>
        <v>4781251301.915647</v>
      </c>
    </row>
    <row r="11" spans="1:6" x14ac:dyDescent="0.25">
      <c r="A11" t="s">
        <v>47</v>
      </c>
      <c r="B11" s="18">
        <f>-B6*Assumptions!B10</f>
        <v>-3434463708.2735963</v>
      </c>
      <c r="C11" s="18">
        <f>-C6*Assumptions!B10</f>
        <v>-3558482879.7499495</v>
      </c>
      <c r="D11" s="18">
        <f>-D6*Assumptions!B10</f>
        <v>-3686980408.314959</v>
      </c>
      <c r="E11" s="18">
        <f>-E6*Assumptions!B10</f>
        <v>-3820118008.33887</v>
      </c>
      <c r="F11" s="18">
        <f>-F6*Assumptions!B10</f>
        <v>-3958063233.7301826</v>
      </c>
    </row>
    <row r="12" spans="1:6" x14ac:dyDescent="0.25">
      <c r="A12" t="s">
        <v>48</v>
      </c>
      <c r="B12" s="18">
        <f>-(B6-Assumptions!B29)*Assumptions!B11</f>
        <v>-236750360.52129784</v>
      </c>
      <c r="C12" s="18">
        <f>-(C6-B6)*Assumptions!B11</f>
        <v>-245299463.3951608</v>
      </c>
      <c r="D12" s="18">
        <f>-(D6-C6)*Assumptions!B11</f>
        <v>-254157276.08381212</v>
      </c>
      <c r="E12" s="18">
        <f>-(E6-D6)*Assumptions!B11</f>
        <v>-263334946.160416</v>
      </c>
      <c r="F12" s="18">
        <f>-(F6-E6)*Assumptions!B11</f>
        <v>-272844023.7392269</v>
      </c>
    </row>
    <row r="13" spans="1:6" x14ac:dyDescent="0.25">
      <c r="A13" s="19" t="s">
        <v>49</v>
      </c>
      <c r="B13" s="20">
        <f>B9+B10+B11+B12</f>
        <v>2572658357.7811213</v>
      </c>
      <c r="C13" s="20">
        <f>C9+C10+C11+C12</f>
        <v>2665557565.6705866</v>
      </c>
      <c r="D13" s="20">
        <f>D9+D10+D11+D12</f>
        <v>2761811382.538887</v>
      </c>
      <c r="E13" s="20">
        <f>E9+E10+E11+E12</f>
        <v>2861540943.987246</v>
      </c>
      <c r="F13" s="20">
        <f>F9+F10+F11+F12</f>
        <v>2964871759.8476815</v>
      </c>
    </row>
    <row r="14" spans="1:6" x14ac:dyDescent="0.25">
      <c r="A14" t="s">
        <v>50</v>
      </c>
      <c r="B14" s="21">
        <f>1/(1+Assumptions!$B$26)^(1-0.5*Assumptions!$B$32)</f>
        <v>0.9745291757816696</v>
      </c>
      <c r="C14" s="21">
        <f>1/(1+Assumptions!$B$26)^(2-0.5*Assumptions!$B$32)</f>
        <v>0.9255172914786544</v>
      </c>
      <c r="D14" s="21">
        <f>1/(1+Assumptions!$B$26)^(3-0.5*Assumptions!$B$32)</f>
        <v>0.8789703562634952</v>
      </c>
      <c r="E14" s="21">
        <f>1/(1+Assumptions!$B$26)^(4-0.5*Assumptions!$B$32)</f>
        <v>0.8347644007338292</v>
      </c>
      <c r="F14" s="21">
        <f>1/(1+Assumptions!$B$26)^(5-0.5*Assumptions!$B$32)</f>
        <v>0.7927816902662583</v>
      </c>
    </row>
    <row r="15" spans="1:6" x14ac:dyDescent="0.25">
      <c r="A15" s="19" t="s">
        <v>51</v>
      </c>
      <c r="B15" s="20">
        <f>B13*B14</f>
        <v>2507130628.9762597</v>
      </c>
      <c r="C15" s="20">
        <f>C13*C14</f>
        <v>2467019618.4598765</v>
      </c>
      <c r="D15" s="20">
        <f>D13*D14</f>
        <v>2427550334.8427815</v>
      </c>
      <c r="E15" s="20">
        <f>E13*E14</f>
        <v>2388712511.2828293</v>
      </c>
      <c r="F15" s="20">
        <f>F13*F14</f>
        <v>2350496045.194741</v>
      </c>
    </row>
    <row r="17" spans="1:2" x14ac:dyDescent="0.25">
      <c r="A17" s="22" t="s">
        <v>52</v>
      </c>
      <c r="B17" s="23">
        <f>SUM(B15:F15)</f>
        <v>12140909138.756487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2964871759.8476815</v>
      </c>
    </row>
    <row r="5" spans="1:2" x14ac:dyDescent="0.25">
      <c r="A5" t="s">
        <v>56</v>
      </c>
      <c r="B5" s="18">
        <f>IF(Assumptions!$B$33=0,B4,B4-Forecast!F11-Forecast!F10-Forecast!F12)</f>
        <v>3781127279.650988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0.472088200974205</v>
      </c>
    </row>
    <row r="7" spans="1:2" x14ac:dyDescent="0.25">
      <c r="A7" t="s">
        <v>58</v>
      </c>
      <c r="B7" s="18">
        <f>-MAX(Forecast!F9,0)*B6</f>
        <v>-1785025575.1049247</v>
      </c>
    </row>
    <row r="8" spans="1:2" x14ac:dyDescent="0.25">
      <c r="A8" t="s">
        <v>59</v>
      </c>
      <c r="B8" s="18">
        <f>IF(OR(Assumptions!$B$33=0,Assumptions!B12&lt;=0),B5,MAX(B5+B7,0))</f>
        <v>1996101704.5460634</v>
      </c>
    </row>
    <row r="9" spans="1:2" x14ac:dyDescent="0.25">
      <c r="A9" t="s">
        <v>60</v>
      </c>
      <c r="B9" s="18">
        <f>B8*(1+Assumptions!B12)/(Assumptions!B26-Assumptions!B12)</f>
        <v>73186048579.30191</v>
      </c>
    </row>
    <row r="10" spans="1:2" x14ac:dyDescent="0.25">
      <c r="A10" t="s">
        <v>61</v>
      </c>
      <c r="B10" s="18">
        <f>B9/(1+Assumptions!B26)^(5-0.5*Assumptions!B32)</f>
        <v>58020559296.60746</v>
      </c>
    </row>
    <row r="11" spans="1:2" x14ac:dyDescent="0.25">
      <c r="A11" t="s">
        <v>62</v>
      </c>
      <c r="B11" s="18">
        <f>Forecast!B17+B10</f>
        <v>70161468435.36395</v>
      </c>
    </row>
    <row r="12" spans="1:2" x14ac:dyDescent="0.25">
      <c r="A12" t="s">
        <v>63</v>
      </c>
      <c r="B12" s="18">
        <f>-Assumptions!B30</f>
        <v>-28838000000</v>
      </c>
    </row>
    <row r="13" spans="1:2" x14ac:dyDescent="0.25">
      <c r="A13" t="s">
        <v>64</v>
      </c>
      <c r="B13" s="18">
        <f>B11+B12</f>
        <v>41323468435.36395</v>
      </c>
    </row>
    <row r="14" spans="1:2" x14ac:dyDescent="0.25">
      <c r="A14" s="19" t="s">
        <v>65</v>
      </c>
      <c r="B14" s="24">
        <f>B13/Assumptions!B31</f>
        <v>26.920826342256646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7992650761.835849</v>
      </c>
    </row>
    <row r="18" spans="1:2" x14ac:dyDescent="0.25">
      <c r="A18" t="s">
        <v>60</v>
      </c>
      <c r="B18" s="18">
        <f>B17*Assumptions!B13</f>
        <v>57112993194.11939</v>
      </c>
    </row>
    <row r="19" spans="1:2" x14ac:dyDescent="0.25">
      <c r="A19" t="s">
        <v>61</v>
      </c>
      <c r="B19" s="18">
        <f>B18/(1+Assumptions!B26)^(5-0.5*Assumptions!B32)</f>
        <v>45278135280.59928</v>
      </c>
    </row>
    <row r="20" spans="1:2" x14ac:dyDescent="0.25">
      <c r="A20" t="s">
        <v>62</v>
      </c>
      <c r="B20" s="18">
        <f>Forecast!B17+B19</f>
        <v>57419044419.35577</v>
      </c>
    </row>
    <row r="21" spans="1:2" x14ac:dyDescent="0.25">
      <c r="A21" t="s">
        <v>63</v>
      </c>
      <c r="B21" s="18">
        <f>-Assumptions!B30</f>
        <v>-28838000000</v>
      </c>
    </row>
    <row r="22" spans="1:2" x14ac:dyDescent="0.25">
      <c r="A22" t="s">
        <v>64</v>
      </c>
      <c r="B22" s="18">
        <f>B20+B21</f>
        <v>28581044419.355766</v>
      </c>
    </row>
    <row r="23" spans="1:2" x14ac:dyDescent="0.25">
      <c r="A23" s="19" t="s">
        <v>65</v>
      </c>
      <c r="B23" s="25">
        <f>B22/Assumptions!B31</f>
        <v>18.61957291163242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12.31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26.920826342256646</v>
      </c>
    </row>
    <row r="29" spans="1:2" x14ac:dyDescent="0.25">
      <c r="A29" s="19" t="s">
        <v>73</v>
      </c>
      <c r="B29" s="12">
        <f>B28/B26-1</f>
        <v>1.1869070952279972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0.032956</v>
      </c>
      <c r="B5" s="31">
        <v>67.64136854940361</v>
      </c>
      <c r="C5" s="31">
        <v>78.73422117379258</v>
      </c>
      <c r="D5" s="31">
        <v>103.45700730449275</v>
      </c>
      <c r="E5" s="31">
        <v>210.97380089098573</v>
      </c>
      <c r="F5" s="31" t="s">
        <v>76</v>
      </c>
    </row>
    <row r="6" spans="1:6" x14ac:dyDescent="0.25">
      <c r="A6" s="30">
        <v>0.042956</v>
      </c>
      <c r="B6" s="31">
        <v>37.479573409586834</v>
      </c>
      <c r="C6" s="31">
        <v>37.716853962977254</v>
      </c>
      <c r="D6" s="31">
        <v>37.954134516367674</v>
      </c>
      <c r="E6" s="31">
        <v>38.19141506975812</v>
      </c>
      <c r="F6" s="31">
        <v>38.42869562314852</v>
      </c>
    </row>
    <row r="7" spans="1:6" x14ac:dyDescent="0.25">
      <c r="A7" s="30">
        <v>0.052956</v>
      </c>
      <c r="B7" s="31">
        <v>26.552243700789223</v>
      </c>
      <c r="C7" s="31">
        <v>26.736627067813878</v>
      </c>
      <c r="D7" s="32">
        <v>26.921010434838518</v>
      </c>
      <c r="E7" s="31">
        <v>27.105393801863173</v>
      </c>
      <c r="F7" s="31">
        <v>27.289777168887806</v>
      </c>
    </row>
    <row r="8" spans="1:6" x14ac:dyDescent="0.25">
      <c r="A8" s="30">
        <v>0.062956</v>
      </c>
      <c r="B8" s="31">
        <v>19.11406831564537</v>
      </c>
      <c r="C8" s="31">
        <v>19.262705339151303</v>
      </c>
      <c r="D8" s="31">
        <v>19.41134236265724</v>
      </c>
      <c r="E8" s="31">
        <v>19.559979386163167</v>
      </c>
      <c r="F8" s="31">
        <v>19.708616409669098</v>
      </c>
    </row>
    <row r="9" spans="1:6" x14ac:dyDescent="0.25">
      <c r="A9" s="30">
        <v>0.072956</v>
      </c>
      <c r="B9" s="31">
        <v>13.72937722162583</v>
      </c>
      <c r="C9" s="31">
        <v>13.852348390032681</v>
      </c>
      <c r="D9" s="31">
        <v>13.975319558439518</v>
      </c>
      <c r="E9" s="31">
        <v>14.098290726846368</v>
      </c>
      <c r="F9" s="31">
        <v>14.221261895253209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20346000000</v>
      </c>
      <c r="C5" s="18">
        <v>20139000000</v>
      </c>
      <c r="D5" s="18">
        <v>20005000000</v>
      </c>
      <c r="E5" s="18">
        <v>18292000000</v>
      </c>
      <c r="F5" s="8" t="s">
        <v>85</v>
      </c>
    </row>
    <row r="6" spans="1:6" x14ac:dyDescent="0.25">
      <c r="A6" t="s">
        <v>44</v>
      </c>
      <c r="B6" s="18">
        <v>2708000000</v>
      </c>
      <c r="C6" s="18">
        <v>2562000000</v>
      </c>
      <c r="D6" s="18">
        <v>2264000000</v>
      </c>
      <c r="E6" s="18">
        <v>2840000000</v>
      </c>
      <c r="F6" s="8" t="s">
        <v>86</v>
      </c>
    </row>
    <row r="7" spans="1:6" x14ac:dyDescent="0.25">
      <c r="A7" t="s">
        <v>87</v>
      </c>
      <c r="B7" s="18">
        <v>4041000000</v>
      </c>
      <c r="C7" s="18">
        <v>3957000000</v>
      </c>
      <c r="D7" s="18">
        <v>4069000000</v>
      </c>
      <c r="E7" s="18">
        <v>3452000000</v>
      </c>
      <c r="F7" s="8" t="s">
        <v>88</v>
      </c>
    </row>
    <row r="8" spans="1:6" x14ac:dyDescent="0.25">
      <c r="A8" t="s">
        <v>89</v>
      </c>
      <c r="B8" s="18">
        <v>2515000000</v>
      </c>
      <c r="C8" s="18">
        <v>3387000000</v>
      </c>
      <c r="D8" s="18">
        <v>3211000000</v>
      </c>
      <c r="E8" s="18">
        <v>3647000000</v>
      </c>
      <c r="F8" s="8" t="s">
        <v>90</v>
      </c>
    </row>
    <row r="9" spans="1:6" x14ac:dyDescent="0.25">
      <c r="A9" t="s">
        <v>91</v>
      </c>
      <c r="B9" s="18">
        <v>105000000</v>
      </c>
      <c r="C9" s="18">
        <v>-21000000</v>
      </c>
      <c r="D9" s="18">
        <v>552000000</v>
      </c>
      <c r="E9" s="18">
        <v>193000000</v>
      </c>
      <c r="F9" s="8" t="s">
        <v>92</v>
      </c>
    </row>
    <row r="10" spans="1:6" x14ac:dyDescent="0.25">
      <c r="A10" t="s">
        <v>93</v>
      </c>
      <c r="B10" s="18">
        <v>31459000000</v>
      </c>
      <c r="C10" s="18">
        <v>29776000000</v>
      </c>
      <c r="D10" s="18">
        <v>27453000000</v>
      </c>
      <c r="E10" s="18">
        <v>25141000000</v>
      </c>
      <c r="F10" s="8" t="s">
        <v>94</v>
      </c>
    </row>
    <row r="11" spans="1:6" x14ac:dyDescent="0.25">
      <c r="A11" t="s">
        <v>95</v>
      </c>
      <c r="B11" s="18">
        <v>2621000000</v>
      </c>
      <c r="C11" s="18">
        <v>869000000</v>
      </c>
      <c r="D11" s="18">
        <v>864000000</v>
      </c>
      <c r="E11" s="18">
        <v>974000000</v>
      </c>
      <c r="F11" s="8" t="s">
        <v>96</v>
      </c>
    </row>
    <row r="12" spans="1:6" x14ac:dyDescent="0.25">
      <c r="A12" t="s">
        <v>32</v>
      </c>
      <c r="B12" s="34">
        <v>1535000000</v>
      </c>
      <c r="C12" s="34">
        <v>1493000000</v>
      </c>
      <c r="D12" s="34">
        <v>1457000000</v>
      </c>
      <c r="E12" s="34">
        <v>1403000000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8" spans="1:1" x14ac:dyDescent="0.25">
      <c r="A18" s="36" t="s">
        <v>100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2026-09-19T00:06:32Z</dcterms:modified>
</cp:coreProperties>
</file>