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<sst xmlns="http://schemas.openxmlformats.org/spreadsheetml/2006/main" count="111" uniqueCount="99">
  <si>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Molson Coors Beverage Company (TAP)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</si>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</sst>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0.013516144991544188</v>
      </c>
    </row>
    <row r="7" spans="1:2" x14ac:dyDescent="0.25">
      <c r="A7" t="s">
        <v>5</v>
      </c>
      <c r="B7" s="6">
        <v>0.13379532153047966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0.06361048307354536</v>
      </c>
    </row>
    <row r="10" spans="1:2" x14ac:dyDescent="0.25">
      <c r="A10" t="s">
        <v>8</v>
      </c>
      <c r="B10" s="6">
        <v>0.0603723560284976</v>
      </c>
    </row>
    <row r="11" spans="1:2" x14ac:dyDescent="0.25">
      <c r="A11" t="s">
        <v>9</v>
      </c>
      <c r="B11" s="6">
        <v>-0.3017276840806253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5.284933002885758</v>
      </c>
    </row>
    <row r="14" spans="1:3" x14ac:dyDescent="0.25">
      <c r="A14" t="s">
        <v>12</v>
      </c>
      <c r="B14" s="6">
        <v>0.06960176132091515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0.6113999999999999</v>
      </c>
      <c r="C19" s="8" t="s">
        <v>19</v>
      </c>
    </row>
    <row r="20" spans="1:2" x14ac:dyDescent="0.25">
      <c r="A20" t="s">
        <v>20</v>
      </c>
      <c r="B20" s="10">
        <f>B17+B19*B18</f>
        <v>0.083607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6997616128</v>
      </c>
    </row>
    <row r="23" spans="1:2" x14ac:dyDescent="0.25">
      <c r="A23" t="s">
        <v>24</v>
      </c>
      <c r="B23" s="11">
        <v>6352300000</v>
      </c>
    </row>
    <row r="24" spans="1:2" x14ac:dyDescent="0.25">
      <c r="A24" t="s">
        <v>25</v>
      </c>
      <c r="B24" s="10">
        <f>B22/(B22+B23)</f>
        <v>0.5241692952155153</v>
      </c>
    </row>
    <row r="25" spans="1:2" x14ac:dyDescent="0.25">
      <c r="A25" t="s">
        <v>26</v>
      </c>
      <c r="B25" s="10">
        <f>1-B24</f>
        <v>0.47583070478448475</v>
      </c>
    </row>
    <row r="26" spans="1:2" x14ac:dyDescent="0.25">
      <c r="A26" t="s">
        <v>27</v>
      </c>
      <c r="B26" s="12">
        <f>B24*B20+B25*B21*(1-B8)</f>
        <v>0.06261201697893513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11140800000</v>
      </c>
      <c r="C29" s="8" t="s">
        <v>30</v>
      </c>
    </row>
    <row r="30" spans="1:2" x14ac:dyDescent="0.25">
      <c r="A30" t="s">
        <v>31</v>
      </c>
      <c r="B30" s="11">
        <v>5455800000</v>
      </c>
    </row>
    <row r="31" spans="1:2" x14ac:dyDescent="0.25">
      <c r="A31" t="s">
        <v>32</v>
      </c>
      <c r="B31" s="13">
        <v>199100000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0.013516144991544188</v>
      </c>
      <c r="C5" s="10">
        <f>Assumptions!B6</f>
        <v>0.013516144991544188</v>
      </c>
      <c r="D5" s="10">
        <f>Assumptions!B6</f>
        <v>0.013516144991544188</v>
      </c>
      <c r="E5" s="10">
        <f>Assumptions!B6</f>
        <v>0.013516144991544188</v>
      </c>
      <c r="F5" s="10">
        <f>Assumptions!B6</f>
        <v>0.013516144991544188</v>
      </c>
    </row>
    <row r="6" spans="1:6" x14ac:dyDescent="0.25">
      <c r="A6" t="s">
        <v>43</v>
      </c>
      <c r="B6" s="18">
        <f>Assumptions!B29*(1+B5)</f>
        <v>11291380668.121796</v>
      </c>
      <c r="C6" s="18">
        <f>B6*(1+C5)</f>
        <v>11443996606.386848</v>
      </c>
      <c r="D6" s="18">
        <f>C6*(1+D5)</f>
        <v>11598675323.801514</v>
      </c>
      <c r="E6" s="18">
        <f>D6*(1+E5)</f>
        <v>11755444701.18786</v>
      </c>
      <c r="F6" s="18">
        <f>E6*(1+F5)</f>
        <v>11914332996.209196</v>
      </c>
    </row>
    <row r="7" spans="1:6" x14ac:dyDescent="0.25">
      <c r="A7" t="s">
        <v>5</v>
      </c>
      <c r="B7" s="10">
        <f>Assumptions!B7</f>
        <v>0.13379532153047966</v>
      </c>
      <c r="C7" s="10">
        <f>Assumptions!B7</f>
        <v>0.13379532153047966</v>
      </c>
      <c r="D7" s="10">
        <f>Assumptions!B7</f>
        <v>0.13379532153047966</v>
      </c>
      <c r="E7" s="10">
        <f>Assumptions!B7</f>
        <v>0.13379532153047966</v>
      </c>
      <c r="F7" s="10">
        <f>Assumptions!B7</f>
        <v>0.13379532153047966</v>
      </c>
    </row>
    <row r="8" spans="1:6" x14ac:dyDescent="0.25">
      <c r="A8" t="s">
        <v>44</v>
      </c>
      <c r="B8" s="18">
        <f>B6*B7</f>
        <v>1510733907.0143979</v>
      </c>
      <c r="C8" s="18">
        <f>C6*C7</f>
        <v>1531153205.5452464</v>
      </c>
      <c r="D8" s="18">
        <f>D6*D7</f>
        <v>1551848494.2756639</v>
      </c>
      <c r="E8" s="18">
        <f>E6*E7</f>
        <v>1572823503.5292032</v>
      </c>
      <c r="F8" s="18">
        <f>F6*F7</f>
        <v>1594082014.0490124</v>
      </c>
    </row>
    <row r="9" spans="1:6" x14ac:dyDescent="0.25">
      <c r="A9" t="s">
        <v>45</v>
      </c>
      <c r="B9" s="18">
        <f>B8*(1-Assumptions!B8)</f>
        <v>1193479786.5413744</v>
      </c>
      <c r="C9" s="18">
        <f>C8*(1-Assumptions!B8)</f>
        <v>1209611032.3807447</v>
      </c>
      <c r="D9" s="18">
        <f>D8*(1-Assumptions!B8)</f>
        <v>1225960310.4777744</v>
      </c>
      <c r="E9" s="18">
        <f>E8*(1-Assumptions!B8)</f>
        <v>1242530567.7880707</v>
      </c>
      <c r="F9" s="18">
        <f>F8*(1-Assumptions!B8)</f>
        <v>1259324791.0987198</v>
      </c>
    </row>
    <row r="10" spans="1:6" x14ac:dyDescent="0.25">
      <c r="A10" t="s">
        <v>46</v>
      </c>
      <c r="B10" s="18">
        <f>B6*Assumptions!B9</f>
        <v>718250178.8665187</v>
      </c>
      <c r="C10" s="18">
        <f>C6*Assumptions!B9</f>
        <v>727958152.4242811</v>
      </c>
      <c r="D10" s="18">
        <f>D6*Assumptions!B9</f>
        <v>737797340.3602245</v>
      </c>
      <c r="E10" s="18">
        <f>E6*Assumptions!B9</f>
        <v>747769516.1869088</v>
      </c>
      <c r="F10" s="18">
        <f>F6*Assumptions!B9</f>
        <v>757876477.387948</v>
      </c>
    </row>
    <row r="11" spans="1:6" x14ac:dyDescent="0.25">
      <c r="A11" t="s">
        <v>47</v>
      </c>
      <c r="B11" s="18">
        <f>-B6*Assumptions!B10</f>
        <v>-681687253.7491442</v>
      </c>
      <c r="C11" s="18">
        <f>-C6*Assumptions!B10</f>
        <v>-690901037.5097052</v>
      </c>
      <c r="D11" s="18">
        <f>-D6*Assumptions!B10</f>
        <v>-700239356.1074947</v>
      </c>
      <c r="E11" s="18">
        <f>-E6*Assumptions!B10</f>
        <v>-709703892.7734292</v>
      </c>
      <c r="F11" s="18">
        <f>-F6*Assumptions!B10</f>
        <v>-719296353.4892181</v>
      </c>
    </row>
    <row r="12" spans="1:6" x14ac:dyDescent="0.25">
      <c r="A12" t="s">
        <v>48</v>
      </c>
      <c r="B12" s="18">
        <f>-(B6-Assumptions!B29)*Assumptions!B11</f>
        <v>45434356.25970264</v>
      </c>
      <c r="C12" s="18">
        <f>-(C6-B6)*Assumptions!B11</f>
        <v>46048453.606506065</v>
      </c>
      <c r="D12" s="18">
        <f>-(D6-C6)*Assumptions!B11</f>
        <v>46670851.18208842</v>
      </c>
      <c r="E12" s="18">
        <f>-(E6-D6)*Assumptions!B11</f>
        <v>47301661.173543975</v>
      </c>
      <c r="F12" s="18">
        <f>-(F6-E6)*Assumptions!B11</f>
        <v>47940997.284306735</v>
      </c>
    </row>
    <row r="13" spans="1:6" x14ac:dyDescent="0.25">
      <c r="A13" s="19" t="s">
        <v>49</v>
      </c>
      <c r="B13" s="20">
        <f>B9+B10+B11+B12</f>
        <v>1275477067.9184518</v>
      </c>
      <c r="C13" s="20">
        <f>C9+C10+C11+C12</f>
        <v>1292716600.9018266</v>
      </c>
      <c r="D13" s="20">
        <f>D9+D10+D11+D12</f>
        <v>1310189145.9125924</v>
      </c>
      <c r="E13" s="20">
        <f>E9+E10+E11+E12</f>
        <v>1327897852.3750942</v>
      </c>
      <c r="F13" s="20">
        <f>F9+F10+F11+F12</f>
        <v>1345845912.2817566</v>
      </c>
    </row>
    <row r="14" spans="1:6" x14ac:dyDescent="0.25">
      <c r="A14" t="s">
        <v>50</v>
      </c>
      <c r="B14" s="21">
        <f>1/(1+Assumptions!$B$26)^(1-0.5*Assumptions!$B$32)</f>
        <v>0.9700913642206539</v>
      </c>
      <c r="C14" s="21">
        <f>1/(1+Assumptions!$B$26)^(2-0.5*Assumptions!$B$32)</f>
        <v>0.9129309180773972</v>
      </c>
      <c r="D14" s="21">
        <f>1/(1+Assumptions!$B$26)^(3-0.5*Assumptions!$B$32)</f>
        <v>0.8591385223300132</v>
      </c>
      <c r="E14" s="21">
        <f>1/(1+Assumptions!$B$26)^(4-0.5*Assumptions!$B$32)</f>
        <v>0.8085157222036617</v>
      </c>
      <c r="F14" s="21">
        <f>1/(1+Assumptions!$B$26)^(5-0.5*Assumptions!$B$32)</f>
        <v>0.7608757564236068</v>
      </c>
    </row>
    <row r="15" spans="1:6" x14ac:dyDescent="0.25">
      <c r="A15" s="19" t="s">
        <v>51</v>
      </c>
      <c r="B15" s="20">
        <f>B13*B14</f>
        <v>1237329288.8491704</v>
      </c>
      <c r="C15" s="20">
        <f>C13*C14</f>
        <v>1180160953.2751968</v>
      </c>
      <c r="D15" s="20">
        <f>D13*D14</f>
        <v>1125633966.7921667</v>
      </c>
      <c r="E15" s="20">
        <f>E13*E14</f>
        <v>1073626291.1257406</v>
      </c>
      <c r="F15" s="20">
        <f>F13*F14</f>
        <v>1024021526.5370008</v>
      </c>
    </row>
    <row r="17" spans="1:2" x14ac:dyDescent="0.25">
      <c r="A17" s="22" t="s">
        <v>52</v>
      </c>
      <c r="B17" s="23">
        <f>SUM(B15:F15)</f>
        <v>5640772026.579275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1345845912.2817566</v>
      </c>
    </row>
    <row r="5" spans="1:2" x14ac:dyDescent="0.25">
      <c r="A5" t="s">
        <v>56</v>
      </c>
      <c r="B5" s="18">
        <f>IF(Assumptions!$B$33=0,B4,B4-Forecast!F11-Forecast!F10-Forecast!F12)</f>
        <v>1438988197.9458697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0.35918631260970063</v>
      </c>
    </row>
    <row r="7" spans="1:2" x14ac:dyDescent="0.25">
      <c r="A7" t="s">
        <v>58</v>
      </c>
      <c r="B7" s="18">
        <f>-MAX(Forecast!F9,0)*B6</f>
        <v>-516864864.70905495</v>
      </c>
    </row>
    <row r="8" spans="1:2" x14ac:dyDescent="0.25">
      <c r="A8" t="s">
        <v>59</v>
      </c>
      <c r="B8" s="18">
        <f>IF(OR(Assumptions!$B$33=0,Assumptions!B12&lt;=0),B5,MAX(B5+B7,0))</f>
        <v>922123333.2368147</v>
      </c>
    </row>
    <row r="9" spans="1:2" x14ac:dyDescent="0.25">
      <c r="A9" t="s">
        <v>60</v>
      </c>
      <c r="B9" s="18">
        <f>B8*(1+Assumptions!B12)/(Assumptions!B26-Assumptions!B12)</f>
        <v>25129639208.05118</v>
      </c>
    </row>
    <row r="10" spans="1:2" x14ac:dyDescent="0.25">
      <c r="A10" t="s">
        <v>61</v>
      </c>
      <c r="B10" s="18">
        <f>B9/(1+Assumptions!B26)^(5-0.5*Assumptions!B32)</f>
        <v>19120533241.07827</v>
      </c>
    </row>
    <row r="11" spans="1:2" x14ac:dyDescent="0.25">
      <c r="A11" t="s">
        <v>62</v>
      </c>
      <c r="B11" s="18">
        <f>Forecast!B17+B10</f>
        <v>24761305267.657547</v>
      </c>
    </row>
    <row r="12" spans="1:2" x14ac:dyDescent="0.25">
      <c r="A12" t="s">
        <v>63</v>
      </c>
      <c r="B12" s="18">
        <f>-Assumptions!B30</f>
        <v>-5455800000</v>
      </c>
    </row>
    <row r="13" spans="1:2" x14ac:dyDescent="0.25">
      <c r="A13" t="s">
        <v>64</v>
      </c>
      <c r="B13" s="18">
        <f>B11+B12</f>
        <v>19305505267.657547</v>
      </c>
    </row>
    <row r="14" spans="1:2" x14ac:dyDescent="0.25">
      <c r="A14" s="19" t="s">
        <v>65</v>
      </c>
      <c r="B14" s="24">
        <f>B13/Assumptions!B31</f>
        <v>96.96386372505046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2351958491.43696</v>
      </c>
    </row>
    <row r="18" spans="1:2" x14ac:dyDescent="0.25">
      <c r="A18" t="s">
        <v>60</v>
      </c>
      <c r="B18" s="18">
        <f>B17*Assumptions!B13</f>
        <v>12429943052.812592</v>
      </c>
    </row>
    <row r="19" spans="1:2" x14ac:dyDescent="0.25">
      <c r="A19" t="s">
        <v>61</v>
      </c>
      <c r="B19" s="18">
        <f>B18/(1+Assumptions!B26)^(5-0.5*Assumptions!B32)</f>
        <v>9457642322.611137</v>
      </c>
    </row>
    <row r="20" spans="1:2" x14ac:dyDescent="0.25">
      <c r="A20" t="s">
        <v>62</v>
      </c>
      <c r="B20" s="18">
        <f>Forecast!B17+B19</f>
        <v>15098414349.190413</v>
      </c>
    </row>
    <row r="21" spans="1:2" x14ac:dyDescent="0.25">
      <c r="A21" t="s">
        <v>63</v>
      </c>
      <c r="B21" s="18">
        <f>-Assumptions!B30</f>
        <v>-5455800000</v>
      </c>
    </row>
    <row r="22" spans="1:2" x14ac:dyDescent="0.25">
      <c r="A22" t="s">
        <v>64</v>
      </c>
      <c r="B22" s="18">
        <f>B20+B21</f>
        <v>9642614349.190413</v>
      </c>
    </row>
    <row r="23" spans="1:2" x14ac:dyDescent="0.25">
      <c r="A23" s="19" t="s">
        <v>65</v>
      </c>
      <c r="B23" s="25">
        <f>B22/Assumptions!B31</f>
        <v>48.43101129678761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37.53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96.96386372505046</v>
      </c>
    </row>
    <row r="29" spans="1:2" x14ac:dyDescent="0.25">
      <c r="A29" s="19" t="s">
        <v>73</v>
      </c>
      <c r="B29" s="12">
        <f>B28/B26-1</f>
        <v>1.583636123768997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0.042612</v>
      </c>
      <c r="B5" s="31">
        <v>175.00287898648014</v>
      </c>
      <c r="C5" s="31">
        <v>194.82723750868675</v>
      </c>
      <c r="D5" s="31">
        <v>225.66343254562253</v>
      </c>
      <c r="E5" s="31">
        <v>280.60832008531</v>
      </c>
      <c r="F5" s="31">
        <v>407.16983333075484</v>
      </c>
    </row>
    <row r="6" spans="1:6" x14ac:dyDescent="0.25">
      <c r="A6" s="30">
        <v>0.052612</v>
      </c>
      <c r="B6" s="31">
        <v>123.06334136908688</v>
      </c>
      <c r="C6" s="31">
        <v>129.48563792256104</v>
      </c>
      <c r="D6" s="31">
        <v>138.08455234286035</v>
      </c>
      <c r="E6" s="31">
        <v>150.30397583829796</v>
      </c>
      <c r="F6" s="31">
        <v>169.22746712605957</v>
      </c>
    </row>
    <row r="7" spans="1:6" x14ac:dyDescent="0.25">
      <c r="A7" s="30">
        <v>0.062612</v>
      </c>
      <c r="B7" s="31">
        <v>92.89684015694485</v>
      </c>
      <c r="C7" s="31">
        <v>94.73812076530233</v>
      </c>
      <c r="D7" s="32">
        <v>96.96391507157021</v>
      </c>
      <c r="E7" s="31">
        <v>99.7510814551383</v>
      </c>
      <c r="F7" s="31">
        <v>103.40458084457028</v>
      </c>
    </row>
    <row r="8" spans="1:6" x14ac:dyDescent="0.25">
      <c r="A8" s="30">
        <v>0.072612</v>
      </c>
      <c r="B8" s="31">
        <v>73.99756961730769</v>
      </c>
      <c r="C8" s="31">
        <v>74.36061059332354</v>
      </c>
      <c r="D8" s="31">
        <v>74.72365156933937</v>
      </c>
      <c r="E8" s="31">
        <v>75.08669254535522</v>
      </c>
      <c r="F8" s="31">
        <v>75.44973352137103</v>
      </c>
    </row>
    <row r="9" spans="1:6" x14ac:dyDescent="0.25">
      <c r="A9" s="30">
        <v>0.082612</v>
      </c>
      <c r="B9" s="31">
        <v>61.82283240578527</v>
      </c>
      <c r="C9" s="31">
        <v>62.12887725533009</v>
      </c>
      <c r="D9" s="31">
        <v>62.434922104874886</v>
      </c>
      <c r="E9" s="31">
        <v>62.7409669544197</v>
      </c>
      <c r="F9" s="31">
        <v>63.047011803964516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11140800000</v>
      </c>
      <c r="C5" s="18">
        <v>11627000000</v>
      </c>
      <c r="D5" s="18">
        <v>11702100000</v>
      </c>
      <c r="E5" s="18">
        <v>10701000000</v>
      </c>
      <c r="F5" s="8" t="s">
        <v>84</v>
      </c>
    </row>
    <row r="6" spans="1:6" x14ac:dyDescent="0.25">
      <c r="A6" t="s">
        <v>44</v>
      </c>
      <c r="B6" s="18">
        <v>1630700000</v>
      </c>
      <c r="C6" s="18">
        <v>1815900000</v>
      </c>
      <c r="D6" s="18">
        <v>1588900000</v>
      </c>
      <c r="E6" s="18">
        <v>1036400000</v>
      </c>
      <c r="F6" s="8" t="s">
        <v>85</v>
      </c>
    </row>
    <row r="7" spans="1:6" x14ac:dyDescent="0.25">
      <c r="A7" t="s">
        <v>86</v>
      </c>
      <c r="B7" s="18">
        <v>725700000</v>
      </c>
      <c r="C7" s="18">
        <v>770700000</v>
      </c>
      <c r="D7" s="18">
        <v>690700000</v>
      </c>
      <c r="E7" s="18">
        <v>684800000</v>
      </c>
      <c r="F7" s="8" t="s">
        <v>87</v>
      </c>
    </row>
    <row r="8" spans="1:6" x14ac:dyDescent="0.25">
      <c r="A8" t="s">
        <v>88</v>
      </c>
      <c r="B8" s="18">
        <v>716600000</v>
      </c>
      <c r="C8" s="18">
        <v>674100000</v>
      </c>
      <c r="D8" s="18">
        <v>671500000</v>
      </c>
      <c r="E8" s="18">
        <v>661400000</v>
      </c>
      <c r="F8" s="8" t="s">
        <v>89</v>
      </c>
    </row>
    <row r="9" spans="1:6" x14ac:dyDescent="0.25">
      <c r="A9" t="s">
        <v>90</v>
      </c>
      <c r="B9" s="18">
        <v>146700000</v>
      </c>
      <c r="C9" s="18">
        <v>189400000</v>
      </c>
      <c r="D9" s="18">
        <v>-72500000</v>
      </c>
      <c r="E9" s="18">
        <v>183200000</v>
      </c>
      <c r="F9" s="8" t="s">
        <v>91</v>
      </c>
    </row>
    <row r="10" spans="1:6" x14ac:dyDescent="0.25">
      <c r="A10" t="s">
        <v>92</v>
      </c>
      <c r="B10" s="18">
        <v>6352300000</v>
      </c>
      <c r="C10" s="18">
        <v>6192800000</v>
      </c>
      <c r="D10" s="18">
        <v>6270800000</v>
      </c>
      <c r="E10" s="18">
        <v>6607000000</v>
      </c>
      <c r="F10" s="8" t="s">
        <v>93</v>
      </c>
    </row>
    <row r="11" spans="1:6" x14ac:dyDescent="0.25">
      <c r="A11" t="s">
        <v>94</v>
      </c>
      <c r="B11" s="18">
        <v>896500000</v>
      </c>
      <c r="C11" s="18">
        <v>969300000</v>
      </c>
      <c r="D11" s="18">
        <v>868900000</v>
      </c>
      <c r="E11" s="18">
        <v>600000000</v>
      </c>
      <c r="F11" s="8" t="s">
        <v>95</v>
      </c>
    </row>
    <row r="12" spans="1:6" x14ac:dyDescent="0.25">
      <c r="A12" t="s">
        <v>32</v>
      </c>
      <c r="B12" s="34">
        <v>199100000</v>
      </c>
      <c r="C12" s="34">
        <v>209900000</v>
      </c>
      <c r="D12" s="34">
        <v>217300000</v>
      </c>
      <c r="E12" s="34">
        <v>216900000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2026-09-19T01:03:57Z</dcterms:modified>
</cp:coreProperties>
</file>