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<sst xmlns="http://schemas.openxmlformats.org/spreadsheetml/2006/main" count="119" uniqueCount="106">
  <si>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Molson Coors Beverage Company (TAP)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</si>
  <si>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</si>
  <si>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</si>
  <si>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</si>
  <si>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</si>
  <si>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</si>
  <si>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</si>
  <si>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</si>
  <si>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</si>
  <si>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</si>
  <si>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</si>
  <si>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</si>
  <si>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</si>
  <si>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</si>
  <si>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</si>
  <si>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</si>
  <si>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</si>
  <si>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</si>
  <si>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</si>
  <si>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</si>
  <si>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</si>
  <si>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</si>
  <si>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</si>
  <si>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</si>
  <si>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6.6x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</si>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</sst>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-0.008312423703863314</v>
      </c>
    </row>
    <row r="7" spans="1:2" x14ac:dyDescent="0.25">
      <c r="A7" t="s">
        <v>4</v>
      </c>
      <c r="B7" s="5">
        <v>0.13379532153047966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0.06361048307354536</v>
      </c>
    </row>
    <row r="10" spans="1:3" x14ac:dyDescent="0.25">
      <c r="A10" t="s">
        <v>7</v>
      </c>
      <c r="B10" s="5">
        <v>0.0603723560284976</v>
      </c>
      <c r="C10" s="6" t="s">
        <v>8</v>
      </c>
    </row>
    <row r="11" spans="1:2" x14ac:dyDescent="0.25">
      <c r="A11" t="s">
        <v>9</v>
      </c>
      <c r="B11" s="5">
        <v>-0.03765488765390683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5.489870976065184</v>
      </c>
    </row>
    <row r="14" spans="1:3" x14ac:dyDescent="0.25">
      <c r="A14" t="s">
        <v>12</v>
      </c>
      <c r="B14" s="5">
        <v>0.06960176132091515</v>
      </c>
      <c r="C14" s="6" t="s">
        <v>13</v>
      </c>
    </row>
    <row r="15" spans="1:3" x14ac:dyDescent="0.25">
      <c r="A15" t="s">
        <v>14</v>
      </c>
      <c r="B15" s="5">
        <v>0.044522378514432144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0.6181</v>
      </c>
      <c r="C19" s="6" t="s">
        <v>21</v>
      </c>
    </row>
    <row r="20" spans="1:2" x14ac:dyDescent="0.25">
      <c r="A20" t="s">
        <v>22</v>
      </c>
      <c r="B20" s="9">
        <f>B17+B19*B18</f>
        <v>0.07508563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7480531968</v>
      </c>
    </row>
    <row r="23" spans="1:2" x14ac:dyDescent="0.25">
      <c r="A23" t="s">
        <v>26</v>
      </c>
      <c r="B23" s="10">
        <v>6352300000</v>
      </c>
    </row>
    <row r="24" spans="1:2" x14ac:dyDescent="0.25">
      <c r="A24" t="s">
        <v>27</v>
      </c>
      <c r="B24" s="9">
        <f>B22/(B22+B23)</f>
        <v>0.5407809467580457</v>
      </c>
    </row>
    <row r="25" spans="1:2" x14ac:dyDescent="0.25">
      <c r="A25" t="s">
        <v>28</v>
      </c>
      <c r="B25" s="9">
        <f>1-B24</f>
        <v>0.45921905324195433</v>
      </c>
    </row>
    <row r="26" spans="1:2" x14ac:dyDescent="0.25">
      <c r="A26" t="s">
        <v>29</v>
      </c>
      <c r="B26" s="11">
        <f>B24*B20+B25*B21*(1-B8)</f>
        <v>0.060354787433532994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11140800000</v>
      </c>
      <c r="C29" s="6" t="s">
        <v>32</v>
      </c>
    </row>
    <row r="30" spans="1:2" x14ac:dyDescent="0.25">
      <c r="A30" t="s">
        <v>33</v>
      </c>
      <c r="B30" s="10">
        <v>5455800000</v>
      </c>
    </row>
    <row r="31" spans="1:2" x14ac:dyDescent="0.25">
      <c r="A31" t="s">
        <v>34</v>
      </c>
      <c r="B31" s="12">
        <v>199100000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-0.008312423703863314</v>
      </c>
      <c r="C5" s="5">
        <v>0.00005369927939202768</v>
      </c>
      <c r="D5" s="5">
        <v>0.0031719868694680244</v>
      </c>
      <c r="E5" s="5">
        <v>0.006290274459544021</v>
      </c>
      <c r="F5" s="5">
        <v>0.009408562049620019</v>
      </c>
      <c r="G5" s="5">
        <v>0.012526849639696015</v>
      </c>
      <c r="H5" s="5">
        <v>0.01564513722977201</v>
      </c>
      <c r="I5" s="5">
        <v>0.01876342481984801</v>
      </c>
      <c r="J5" s="5">
        <v>0.021881712409924006</v>
      </c>
      <c r="K5" s="5">
        <v>0.025</v>
      </c>
    </row>
    <row r="6" spans="1:11" x14ac:dyDescent="0.25">
      <c r="A6" t="s">
        <v>50</v>
      </c>
      <c r="B6" s="18">
        <f>Assumptions!B29*(1+B5)</f>
        <v>11048192950</v>
      </c>
      <c r="C6" s="18">
        <f>B6*(1+C5)</f>
        <v>11048786230</v>
      </c>
      <c r="D6" s="18">
        <f>C6*(1+D5)</f>
        <v>11083832834.845118</v>
      </c>
      <c r="E6" s="18">
        <f>D6*(1+E5)</f>
        <v>11153553185.44</v>
      </c>
      <c r="F6" s="18">
        <f>E6*(1+F5)</f>
        <v>11258492082.65895</v>
      </c>
      <c r="G6" s="18">
        <f>F6*(1+G5)</f>
        <v>11399525520.148127</v>
      </c>
      <c r="H6" s="18">
        <f>G6*(1+H5)</f>
        <v>11577872661.265133</v>
      </c>
      <c r="I6" s="18">
        <f>H6*(1+I5)</f>
        <v>11795113204.518555</v>
      </c>
      <c r="J6" s="18">
        <f>I6*(1+J5)</f>
        <v>12053210479.502327</v>
      </c>
      <c r="K6" s="18">
        <f>J6*(1+K5)</f>
        <v>12354540741.489883</v>
      </c>
    </row>
    <row r="7" spans="1:11" x14ac:dyDescent="0.25">
      <c r="A7" t="s">
        <v>4</v>
      </c>
      <c r="B7" s="9">
        <f>Assumptions!B7</f>
        <v>0.13379532153047966</v>
      </c>
      <c r="C7" s="9">
        <f>Assumptions!B7</f>
        <v>0.13379532153047966</v>
      </c>
      <c r="D7" s="9">
        <f>Assumptions!B7</f>
        <v>0.13379532153047966</v>
      </c>
      <c r="E7" s="9">
        <f>Assumptions!B7</f>
        <v>0.13379532153047966</v>
      </c>
      <c r="F7" s="9">
        <f>Assumptions!B7</f>
        <v>0.13379532153047966</v>
      </c>
      <c r="G7" s="9">
        <f>Assumptions!B7</f>
        <v>0.13379532153047966</v>
      </c>
      <c r="H7" s="9">
        <f>Assumptions!B7</f>
        <v>0.13379532153047966</v>
      </c>
      <c r="I7" s="9">
        <f>Assumptions!B7</f>
        <v>0.13379532153047966</v>
      </c>
      <c r="J7" s="9">
        <f>Assumptions!B7</f>
        <v>0.13379532153047966</v>
      </c>
      <c r="K7" s="9">
        <f>Assumptions!B7</f>
        <v>0.13379532153047966</v>
      </c>
    </row>
    <row r="8" spans="1:11" x14ac:dyDescent="0.25">
      <c r="A8" t="s">
        <v>51</v>
      </c>
      <c r="B8" s="18">
        <f>B6*B7</f>
        <v>1478196528.0760286</v>
      </c>
      <c r="C8" s="18">
        <f>C6*C7</f>
        <v>1478275906.164386</v>
      </c>
      <c r="D8" s="18">
        <f>D6*D7</f>
        <v>1482964977.9281902</v>
      </c>
      <c r="E8" s="18">
        <f>E6*E7</f>
        <v>1492293234.6532505</v>
      </c>
      <c r="F8" s="18">
        <f>F6*F7</f>
        <v>1506333568.147714</v>
      </c>
      <c r="G8" s="18">
        <f>G6*G7</f>
        <v>1525203182.2631269</v>
      </c>
      <c r="H8" s="18">
        <f>H6*H7</f>
        <v>1549065195.3529186</v>
      </c>
      <c r="I8" s="18">
        <f>I6*I7</f>
        <v>1578130963.6869662</v>
      </c>
      <c r="J8" s="18">
        <f>J6*J7</f>
        <v>1612663171.5795608</v>
      </c>
      <c r="K8" s="18">
        <f>K6*K7</f>
        <v>1652979750.8690495</v>
      </c>
    </row>
    <row r="9" spans="1:11" x14ac:dyDescent="0.25">
      <c r="A9" t="s">
        <v>52</v>
      </c>
      <c r="B9" s="18">
        <f>B8*(1-Assumptions!B8)</f>
        <v>1167775257.1800625</v>
      </c>
      <c r="C9" s="18">
        <f>C8*(1-Assumptions!B8)</f>
        <v>1167837965.869865</v>
      </c>
      <c r="D9" s="18">
        <f>D8*(1-Assumptions!B8)</f>
        <v>1171542332.5632703</v>
      </c>
      <c r="E9" s="18">
        <f>E8*(1-Assumptions!B8)</f>
        <v>1178911655.3760679</v>
      </c>
      <c r="F9" s="18">
        <f>F8*(1-Assumptions!B8)</f>
        <v>1190003518.836694</v>
      </c>
      <c r="G9" s="18">
        <f>G8*(1-Assumptions!B8)</f>
        <v>1204910513.9878702</v>
      </c>
      <c r="H9" s="18">
        <f>H8*(1-Assumptions!B8)</f>
        <v>1223761504.3288057</v>
      </c>
      <c r="I9" s="18">
        <f>I8*(1-Assumptions!B8)</f>
        <v>1246723461.3127034</v>
      </c>
      <c r="J9" s="18">
        <f>J8*(1-Assumptions!B8)</f>
        <v>1274003905.547853</v>
      </c>
      <c r="K9" s="18">
        <f>K8*(1-Assumptions!B8)</f>
        <v>1305854003.1865492</v>
      </c>
    </row>
    <row r="10" spans="1:11" x14ac:dyDescent="0.25">
      <c r="A10" t="s">
        <v>53</v>
      </c>
      <c r="B10" s="18">
        <f>B6*Assumptions!B9</f>
        <v>702780890.6392381</v>
      </c>
      <c r="C10" s="18">
        <f>C6*Assumptions!B9</f>
        <v>702818629.4666361</v>
      </c>
      <c r="D10" s="18">
        <f>D6*Assumptions!B9</f>
        <v>705047960.9309217</v>
      </c>
      <c r="E10" s="18">
        <f>E6*Assumptions!B9</f>
        <v>709482906.1123191</v>
      </c>
      <c r="F10" s="18">
        <f>F6*Assumptions!B9</f>
        <v>716158120.0576216</v>
      </c>
      <c r="G10" s="18">
        <f>G6*Assumptions!B9</f>
        <v>725129325.1458308</v>
      </c>
      <c r="H10" s="18">
        <f>H6*Assumptions!B9</f>
        <v>736474072.9470693</v>
      </c>
      <c r="I10" s="18">
        <f>I6*Assumptions!B9</f>
        <v>750292848.8465788</v>
      </c>
      <c r="J10" s="18">
        <f>J6*Assumptions!B9</f>
        <v>766710541.1882623</v>
      </c>
      <c r="K10" s="18">
        <f>K6*Assumptions!B9</f>
        <v>785878304.7179688</v>
      </c>
    </row>
    <row r="11" spans="1:11" x14ac:dyDescent="0.25">
      <c r="A11" t="s">
        <v>54</v>
      </c>
      <c r="B11" s="18">
        <f>-B6*B19</f>
        <v>-667005438.2489372</v>
      </c>
      <c r="C11" s="18">
        <f>-C6*C19</f>
        <v>-700840467.0573655</v>
      </c>
      <c r="D11" s="18">
        <f>-D6*D19</f>
        <v>-736969945.5673052</v>
      </c>
      <c r="E11" s="18">
        <f>-E6*E19</f>
        <v>-775725391.2429546</v>
      </c>
      <c r="F11" s="18">
        <f>-F6*F19</f>
        <v>-817464571.5071371</v>
      </c>
      <c r="G11" s="18">
        <f>-G6*G19</f>
        <v>-862576980.78565</v>
      </c>
      <c r="H11" s="18">
        <f>-H6*H19</f>
        <v>-911489849.1538392</v>
      </c>
      <c r="I11" s="18">
        <f>-I6*I19</f>
        <v>-964674811.5179693</v>
      </c>
      <c r="J11" s="18">
        <f>-J6*J19</f>
        <v>-1022655381.7352418</v>
      </c>
      <c r="K11" s="18">
        <f>-K6*K19</f>
        <v>-1086015395.5367248</v>
      </c>
    </row>
    <row r="12" spans="1:11" x14ac:dyDescent="0.25">
      <c r="A12" t="s">
        <v>55</v>
      </c>
      <c r="B12" s="18">
        <f>-(B6-Assumptions!B29)*Assumptions!B11</f>
        <v>-3487108.0637097326</v>
      </c>
      <c r="C12" s="18">
        <f>-(C6-B6)*Assumptions!B11</f>
        <v>22339.891747309845</v>
      </c>
      <c r="D12" s="18">
        <f>-(D6-C6)*Assumptions!B11</f>
        <v>1319675.968093769</v>
      </c>
      <c r="E12" s="18">
        <f>-(E6-D6)*Assumptions!B11</f>
        <v>2625311.9688413143</v>
      </c>
      <c r="F12" s="18">
        <f>-(F6-E6)*Assumptions!B11</f>
        <v>3951462.385304448</v>
      </c>
      <c r="G12" s="18">
        <f>-(G6-F6)*Assumptions!B11</f>
        <v>5310598.244099206</v>
      </c>
      <c r="H12" s="18">
        <f>-(H6-G6)*Assumptions!B11</f>
        <v>6715641.56215634</v>
      </c>
      <c r="I12" s="18">
        <f>-(I6-H6)*Assumptions!B11</f>
        <v>8180168.250081285</v>
      </c>
      <c r="J12" s="18">
        <f>-(J6-I6)*Assumptions!B11</f>
        <v>9718623.893293442</v>
      </c>
      <c r="K12" s="18">
        <f>-(K6-J6)*Assumptions!B11</f>
        <v>11346557.16186375</v>
      </c>
    </row>
    <row r="13" spans="1:11" x14ac:dyDescent="0.25">
      <c r="A13" s="19" t="s">
        <v>56</v>
      </c>
      <c r="B13" s="20">
        <f>B9+B10+B11+B12</f>
        <v>1200063601.5066538</v>
      </c>
      <c r="C13" s="20">
        <f>C9+C10+C11+C12</f>
        <v>1169838468.170883</v>
      </c>
      <c r="D13" s="20">
        <f>D9+D10+D11+D12</f>
        <v>1140940023.894981</v>
      </c>
      <c r="E13" s="20">
        <f>E9+E10+E11+E12</f>
        <v>1115294482.2142737</v>
      </c>
      <c r="F13" s="20">
        <f>F9+F10+F11+F12</f>
        <v>1092648529.772483</v>
      </c>
      <c r="G13" s="20">
        <f>G9+G10+G11+G12</f>
        <v>1072773456.5921501</v>
      </c>
      <c r="H13" s="20">
        <f>H9+H10+H11+H12</f>
        <v>1055461369.6841922</v>
      </c>
      <c r="I13" s="20">
        <f>I9+I10+I11+I12</f>
        <v>1040521666.8913943</v>
      </c>
      <c r="J13" s="20">
        <f>J9+J10+J11+J12</f>
        <v>1027777688.8941672</v>
      </c>
      <c r="K13" s="20">
        <f>K9+K10+K11+K12</f>
        <v>1017063469.5296571</v>
      </c>
    </row>
    <row r="14" spans="1:11" x14ac:dyDescent="0.25">
      <c r="A14" t="s">
        <v>57</v>
      </c>
      <c r="B14" s="21">
        <f>1/(1+Assumptions!$B$26)^(1-0.5*Assumptions!$B$32)</f>
        <v>0.9711233559714579</v>
      </c>
      <c r="C14" s="21">
        <f>1/(1+Assumptions!$B$26)^(2-0.5*Assumptions!$B$32)</f>
        <v>0.9158475705305679</v>
      </c>
      <c r="D14" s="21">
        <f>1/(1+Assumptions!$B$26)^(3-0.5*Assumptions!$B$32)</f>
        <v>0.8637180511508527</v>
      </c>
      <c r="E14" s="21">
        <f>1/(1+Assumptions!$B$26)^(4-0.5*Assumptions!$B$32)</f>
        <v>0.8145557141693895</v>
      </c>
      <c r="F14" s="21">
        <f>1/(1+Assumptions!$B$26)^(5-0.5*Assumptions!$B$32)</f>
        <v>0.768191669262821</v>
      </c>
      <c r="G14" s="21">
        <f>1/(1+Assumptions!$B$26)^(6-0.5*Assumptions!$B$32)</f>
        <v>0.7244666392483036</v>
      </c>
      <c r="H14" s="21">
        <f>1/(1+Assumptions!$B$26)^(7-0.5*Assumptions!$B$32)</f>
        <v>0.6832304129090527</v>
      </c>
      <c r="I14" s="21">
        <f>1/(1+Assumptions!$B$26)^(8-0.5*Assumptions!$B$32)</f>
        <v>0.6443413289647453</v>
      </c>
      <c r="J14" s="21">
        <f>1/(1+Assumptions!$B$26)^(9-0.5*Assumptions!$B$32)</f>
        <v>0.6076657894140313</v>
      </c>
      <c r="K14" s="21">
        <f>1/(1+Assumptions!$B$26)^(10-0.5*Assumptions!$B$32)</f>
        <v>0.5730778005773111</v>
      </c>
    </row>
    <row r="15" spans="1:11" x14ac:dyDescent="0.25">
      <c r="A15" s="19" t="s">
        <v>58</v>
      </c>
      <c r="B15" s="20">
        <f>B13*B14</f>
        <v>1165409792.074336</v>
      </c>
      <c r="C15" s="20">
        <f>C13*C14</f>
        <v>1071393718.9875042</v>
      </c>
      <c r="D15" s="20">
        <f>D13*D14</f>
        <v>985450493.9185802</v>
      </c>
      <c r="E15" s="20">
        <f>E13*E14</f>
        <v>908469493.4692272</v>
      </c>
      <c r="F15" s="20">
        <f>F13*F14</f>
        <v>839363498.0034909</v>
      </c>
      <c r="G15" s="20">
        <f>G13*G14</f>
        <v>777188580.7721008</v>
      </c>
      <c r="H15" s="20">
        <f>H13*H14</f>
        <v>721123307.418885</v>
      </c>
      <c r="I15" s="20">
        <f>I13*I14</f>
        <v>670451113.661413</v>
      </c>
      <c r="J15" s="20">
        <f>J13*J14</f>
        <v>624545340.6640028</v>
      </c>
      <c r="K15" s="20">
        <f>K13*K14</f>
        <v>582856496.1655849</v>
      </c>
    </row>
    <row r="17" spans="1:2" x14ac:dyDescent="0.25">
      <c r="A17" s="22" t="s">
        <v>59</v>
      </c>
      <c r="B17" s="23">
        <f>SUM(B15:K15)</f>
        <v>8346251835.135124</v>
      </c>
    </row>
    <row r="19" spans="1:11" x14ac:dyDescent="0.25">
      <c r="A19" t="s">
        <v>7</v>
      </c>
      <c r="B19" s="9">
        <f>Assumptions!$B$10+($B$20-Assumptions!$B$10)*0/9</f>
        <v>0.0603723560284976</v>
      </c>
      <c r="C19" s="9">
        <f>Assumptions!$B$10+($B$20-Assumptions!$B$10)*1/9</f>
        <v>0.0634314441847397</v>
      </c>
      <c r="D19" s="9">
        <f>Assumptions!$B$10+($B$20-Assumptions!$B$10)*2/9</f>
        <v>0.06649053234098179</v>
      </c>
      <c r="E19" s="9">
        <f>Assumptions!$B$10+($B$20-Assumptions!$B$10)*3/9</f>
        <v>0.06954962049722388</v>
      </c>
      <c r="F19" s="9">
        <f>Assumptions!$B$10+($B$20-Assumptions!$B$10)*4/9</f>
        <v>0.07260870865346597</v>
      </c>
      <c r="G19" s="9">
        <f>Assumptions!$B$10+($B$20-Assumptions!$B$10)*5/9</f>
        <v>0.07566779680970806</v>
      </c>
      <c r="H19" s="9">
        <f>Assumptions!$B$10+($B$20-Assumptions!$B$10)*6/9</f>
        <v>0.07872688496595015</v>
      </c>
      <c r="I19" s="9">
        <f>Assumptions!$B$10+($B$20-Assumptions!$B$10)*7/9</f>
        <v>0.08178597312219224</v>
      </c>
      <c r="J19" s="9">
        <f>Assumptions!$B$10+($B$20-Assumptions!$B$10)*8/9</f>
        <v>0.08484506127843433</v>
      </c>
      <c r="K19" s="9">
        <f>Assumptions!$B$10+($B$20-Assumptions!$B$10)*9/9</f>
        <v>0.08790414943467642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0.08790414943467642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1017063469.5296571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1492155567.8947217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0.35918631260970063</v>
      </c>
    </row>
    <row r="7" spans="1:2" x14ac:dyDescent="0.25">
      <c r="A7" t="s">
        <v>66</v>
      </c>
      <c r="B7" s="18">
        <f>-MAX(B5,0)*B6</f>
        <v>-535961856.2721389</v>
      </c>
    </row>
    <row r="8" spans="1:2" x14ac:dyDescent="0.25">
      <c r="A8" t="s">
        <v>67</v>
      </c>
      <c r="B8" s="18">
        <f>IF(OR(Assumptions!$B$33=0,Assumptions!B12&lt;=0),B5,MAX(B5+B7,0))</f>
        <v>956193711.6225829</v>
      </c>
    </row>
    <row r="9" spans="1:2" x14ac:dyDescent="0.25">
      <c r="A9" t="s">
        <v>68</v>
      </c>
      <c r="B9" s="18">
        <f>B8*(1+Assumptions!B12)/(Assumptions!B26-Assumptions!B12)</f>
        <v>27721805887.130077</v>
      </c>
    </row>
    <row r="10" spans="1:2" x14ac:dyDescent="0.25">
      <c r="A10" t="s">
        <v>69</v>
      </c>
      <c r="B10" s="18">
        <f>B9/(1+Assumptions!B26)^(10-0.5*Assumptions!B32)</f>
        <v>15886751545.827658</v>
      </c>
    </row>
    <row r="11" spans="1:2" x14ac:dyDescent="0.25">
      <c r="A11" t="s">
        <v>70</v>
      </c>
      <c r="B11" s="18">
        <f>Forecast!B17+B10</f>
        <v>24233003380.962784</v>
      </c>
    </row>
    <row r="12" spans="1:2" x14ac:dyDescent="0.25">
      <c r="A12" t="s">
        <v>71</v>
      </c>
      <c r="B12" s="18">
        <f>-Assumptions!B30</f>
        <v>-5455800000</v>
      </c>
    </row>
    <row r="13" spans="1:2" x14ac:dyDescent="0.25">
      <c r="A13" t="s">
        <v>72</v>
      </c>
      <c r="B13" s="18">
        <f>B11+B12</f>
        <v>18777203380.962784</v>
      </c>
    </row>
    <row r="14" spans="1:2" x14ac:dyDescent="0.25">
      <c r="A14" s="19" t="s">
        <v>73</v>
      </c>
      <c r="B14" s="24">
        <f>B13/Assumptions!B31</f>
        <v>94.31041376676436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2438858055.5870185</v>
      </c>
    </row>
    <row r="18" spans="1:2" x14ac:dyDescent="0.25">
      <c r="A18" t="s">
        <v>68</v>
      </c>
      <c r="B18" s="18">
        <f>B17*Assumptions!B13</f>
        <v>13389016054.109941</v>
      </c>
    </row>
    <row r="19" spans="1:2" x14ac:dyDescent="0.25">
      <c r="A19" t="s">
        <v>69</v>
      </c>
      <c r="B19" s="18">
        <f>B18/(1+Assumptions!B26)^(10-0.5*Assumptions!B32)</f>
        <v>7672947872.183633</v>
      </c>
    </row>
    <row r="20" spans="1:2" x14ac:dyDescent="0.25">
      <c r="A20" t="s">
        <v>70</v>
      </c>
      <c r="B20" s="18">
        <f>Forecast!B17+B19</f>
        <v>16019199707.318756</v>
      </c>
    </row>
    <row r="21" spans="1:2" x14ac:dyDescent="0.25">
      <c r="A21" t="s">
        <v>71</v>
      </c>
      <c r="B21" s="18">
        <f>-Assumptions!B30</f>
        <v>-5455800000</v>
      </c>
    </row>
    <row r="22" spans="1:2" x14ac:dyDescent="0.25">
      <c r="A22" t="s">
        <v>72</v>
      </c>
      <c r="B22" s="18">
        <f>B20+B21</f>
        <v>10563399707.318756</v>
      </c>
    </row>
    <row r="23" spans="1:2" x14ac:dyDescent="0.25">
      <c r="A23" s="19" t="s">
        <v>73</v>
      </c>
      <c r="B23" s="25">
        <f>B22/Assumptions!B31</f>
        <v>53.055749408933984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40.12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94.31041376676436</v>
      </c>
    </row>
    <row r="29" spans="1:2" x14ac:dyDescent="0.25">
      <c r="A29" s="19" t="s">
        <v>81</v>
      </c>
      <c r="B29" s="11">
        <f>B28/B26-1</f>
        <v>1.3507082195105773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0.040355</v>
      </c>
      <c r="B5" s="31">
        <v>183.75098513905272</v>
      </c>
      <c r="C5" s="31">
        <v>203.9637626050818</v>
      </c>
      <c r="D5" s="31">
        <v>238.37177574939489</v>
      </c>
      <c r="E5" s="31">
        <v>307.5378961484535</v>
      </c>
      <c r="F5" s="31">
        <v>508.8237687735341</v>
      </c>
    </row>
    <row r="6" spans="1:6" x14ac:dyDescent="0.25">
      <c r="A6" s="30">
        <v>0.050355</v>
      </c>
      <c r="B6" s="31">
        <v>125.8098680998066</v>
      </c>
      <c r="C6" s="31">
        <v>130.67423511701875</v>
      </c>
      <c r="D6" s="31">
        <v>138.04672423148335</v>
      </c>
      <c r="E6" s="31">
        <v>149.77561996586255</v>
      </c>
      <c r="F6" s="31">
        <v>170.11661097523407</v>
      </c>
    </row>
    <row r="7" spans="1:6" x14ac:dyDescent="0.25">
      <c r="A7" s="30">
        <v>0.060355</v>
      </c>
      <c r="B7" s="31">
        <v>93.36111053718322</v>
      </c>
      <c r="C7" s="31">
        <v>93.60168261767454</v>
      </c>
      <c r="D7" s="32">
        <v>94.30974536876072</v>
      </c>
      <c r="E7" s="31">
        <v>95.71631048732604</v>
      </c>
      <c r="F7" s="31">
        <v>98.23461147809104</v>
      </c>
    </row>
    <row r="8" spans="1:6" x14ac:dyDescent="0.25">
      <c r="A8" s="30">
        <v>0.070355</v>
      </c>
      <c r="B8" s="31">
        <v>72.81125223558396</v>
      </c>
      <c r="C8" s="31">
        <v>71.49026591304158</v>
      </c>
      <c r="D8" s="31">
        <v>70.1692795904992</v>
      </c>
      <c r="E8" s="31">
        <v>68.84829326795682</v>
      </c>
      <c r="F8" s="31">
        <v>67.52730694541445</v>
      </c>
    </row>
    <row r="9" spans="1:6" x14ac:dyDescent="0.25">
      <c r="A9" s="30">
        <v>0.080355</v>
      </c>
      <c r="B9" s="31">
        <v>60.36896675854639</v>
      </c>
      <c r="C9" s="31">
        <v>59.274438616383435</v>
      </c>
      <c r="D9" s="31">
        <v>58.17991047422048</v>
      </c>
      <c r="E9" s="31">
        <v>57.08538233205752</v>
      </c>
      <c r="F9" s="31">
        <v>55.99085418989455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11140800000</v>
      </c>
      <c r="C5" s="18">
        <v>11627000000</v>
      </c>
      <c r="D5" s="18">
        <v>11702100000</v>
      </c>
      <c r="E5" s="18">
        <v>10701000000</v>
      </c>
      <c r="F5" s="6" t="s">
        <v>91</v>
      </c>
    </row>
    <row r="6" spans="1:6" x14ac:dyDescent="0.25">
      <c r="A6" t="s">
        <v>51</v>
      </c>
      <c r="B6" s="18">
        <v>1630700000</v>
      </c>
      <c r="C6" s="18">
        <v>1815900000</v>
      </c>
      <c r="D6" s="18">
        <v>1588900000</v>
      </c>
      <c r="E6" s="18">
        <v>1036400000</v>
      </c>
      <c r="F6" s="6" t="s">
        <v>92</v>
      </c>
    </row>
    <row r="7" spans="1:6" x14ac:dyDescent="0.25">
      <c r="A7" t="s">
        <v>93</v>
      </c>
      <c r="B7" s="18">
        <v>725700000</v>
      </c>
      <c r="C7" s="18">
        <v>770700000</v>
      </c>
      <c r="D7" s="18">
        <v>690700000</v>
      </c>
      <c r="E7" s="18">
        <v>684800000</v>
      </c>
      <c r="F7" s="6" t="s">
        <v>94</v>
      </c>
    </row>
    <row r="8" spans="1:6" x14ac:dyDescent="0.25">
      <c r="A8" t="s">
        <v>95</v>
      </c>
      <c r="B8" s="18">
        <v>716600000</v>
      </c>
      <c r="C8" s="18">
        <v>674100000</v>
      </c>
      <c r="D8" s="18">
        <v>671500000</v>
      </c>
      <c r="E8" s="18">
        <v>661400000</v>
      </c>
      <c r="F8" s="6" t="s">
        <v>96</v>
      </c>
    </row>
    <row r="9" spans="1:6" x14ac:dyDescent="0.25">
      <c r="A9" t="s">
        <v>97</v>
      </c>
      <c r="B9" s="18">
        <v>146700000</v>
      </c>
      <c r="C9" s="18">
        <v>189400000</v>
      </c>
      <c r="D9" s="18">
        <v>-72500000</v>
      </c>
      <c r="E9" s="18">
        <v>183200000</v>
      </c>
      <c r="F9" s="6" t="s">
        <v>98</v>
      </c>
    </row>
    <row r="10" spans="1:6" x14ac:dyDescent="0.25">
      <c r="A10" t="s">
        <v>99</v>
      </c>
      <c r="B10" s="18">
        <v>6352300000</v>
      </c>
      <c r="C10" s="18">
        <v>6192800000</v>
      </c>
      <c r="D10" s="18">
        <v>6270800000</v>
      </c>
      <c r="E10" s="18">
        <v>6607000000</v>
      </c>
      <c r="F10" s="6" t="s">
        <v>100</v>
      </c>
    </row>
    <row r="11" spans="1:6" x14ac:dyDescent="0.25">
      <c r="A11" t="s">
        <v>101</v>
      </c>
      <c r="B11" s="18">
        <v>896500000</v>
      </c>
      <c r="C11" s="18">
        <v>969300000</v>
      </c>
      <c r="D11" s="18">
        <v>868900000</v>
      </c>
      <c r="E11" s="18">
        <v>600000000</v>
      </c>
      <c r="F11" s="6" t="s">
        <v>102</v>
      </c>
    </row>
    <row r="12" spans="1:6" x14ac:dyDescent="0.25">
      <c r="A12" t="s">
        <v>34</v>
      </c>
      <c r="B12" s="34">
        <v>199100000</v>
      </c>
      <c r="C12" s="34">
        <v>209900000</v>
      </c>
      <c r="D12" s="34">
        <v>217300000</v>
      </c>
      <c r="E12" s="34">
        <v>216900000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