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<sst xmlns="http://schemas.openxmlformats.org/spreadsheetml/2006/main" count="113" uniqueCount="101">
  <si>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Transurban Group (TCL.AX)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</si>
  <si>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</si>
  <si>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</si>
  <si>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</si>
  <si>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</si>
  <si>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</si>
  <si>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</si>
  <si>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</si>
  <si>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</si>
  <si>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</si>
  <si>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</si>
  <si>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</si>
  <si>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</si>
  <si>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</si>
  <si>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</si>
  <si>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</si>
  <si>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</si>
  <si>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</si>
  <si>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</si>
  <si>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</si>
  <si>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</si>
  <si>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</si>
  <si>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</si>
  <si>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</si>
  <si>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</si>
  <si>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</si>
  <si>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</si>
  <si>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</si>
  <si>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</si>
  <si>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</si>
  <si>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</si>
  <si>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</si>
  <si>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</si>
  <si>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</si>
  <si>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</si>
  <si>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</si>
  <si>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</si>
  <si>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</si>
  <si>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</si>
  <si>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</si>
  <si>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</si>
  <si>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</si>
  <si>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</si>
  <si>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</si>
  <si>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</si>
  <si>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</si>
  <si>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</si>
  <si>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</si>
  <si>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</si>
  <si>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</si>
  <si>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</si>
  <si>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</si>
  <si>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</si>
  <si>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</si>
  <si>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</si>
  <si>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</si>
  <si>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</si>
  <si>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</si>
  <si>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</si>
  <si>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</si>
  <si>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</si>
  <si>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</si>
  <si>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</si>
  <si>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</si>
  <si>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</si>
  <si>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</si>
  <si>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</si>
  <si>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</si>
  <si>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</si>
  <si>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</si>
  <si>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</si>
  <si>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</si>
  <si>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</si>
  <si>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</si>
  <si>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</si>
  <si>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</si>
  <si>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</si>
  <si>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</si>
  <si>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</si>
  <si>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</si>
  <si>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</si>
  <si>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</si>
  <si>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</si>
  <si>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</si>
  <si>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</si>
  <si>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</si>
  <si>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</si>
  <si>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</si>
  <si>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</si>
  <si>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</si>
  <si>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</si>
  <si>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</si>
  <si>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</si>
  <si>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</si>
  <si>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</si>
  <si>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</si>
  <si>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</si>
  <si>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</si>
  <si>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</si>
  <si>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Current EV/EBITDA of 25.7x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</si>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</sst>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-0.021466242638651045</v>
      </c>
    </row>
    <row r="7" spans="1:2" x14ac:dyDescent="0.25">
      <c r="A7" t="s">
        <v>5</v>
      </c>
      <c r="B7" s="6">
        <v>0.2658179975735028</v>
      </c>
    </row>
    <row r="8" spans="1:2" x14ac:dyDescent="0.25">
      <c r="A8" t="s">
        <v>6</v>
      </c>
      <c r="B8" s="6">
        <v>0.0079155672823219</v>
      </c>
    </row>
    <row r="9" spans="1:2" x14ac:dyDescent="0.25">
      <c r="A9" t="s">
        <v>7</v>
      </c>
      <c r="B9" s="6">
        <v>0.27902542034888633</v>
      </c>
    </row>
    <row r="10" spans="1:2" x14ac:dyDescent="0.25">
      <c r="A10" t="s">
        <v>8</v>
      </c>
      <c r="B10" s="6">
        <v>0.22563072374646076</v>
      </c>
    </row>
    <row r="11" spans="1:2" x14ac:dyDescent="0.25">
      <c r="A11" t="s">
        <v>9</v>
      </c>
      <c r="B11" s="6">
        <v>0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0.0800943504669866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0.66835</v>
      </c>
      <c r="C19" s="8" t="s">
        <v>19</v>
      </c>
    </row>
    <row r="20" spans="1:2" x14ac:dyDescent="0.25">
      <c r="A20" t="s">
        <v>20</v>
      </c>
      <c r="B20" s="10">
        <f>B17+B19*B18</f>
        <v>0.093581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41378521088</v>
      </c>
    </row>
    <row r="23" spans="1:2" x14ac:dyDescent="0.25">
      <c r="A23" t="s">
        <v>24</v>
      </c>
      <c r="B23" s="11">
        <v>20640000000</v>
      </c>
    </row>
    <row r="24" spans="1:2" x14ac:dyDescent="0.25">
      <c r="A24" t="s">
        <v>25</v>
      </c>
      <c r="B24" s="10">
        <f>B22/(B22+B23)</f>
        <v>0.6671961917519241</v>
      </c>
    </row>
    <row r="25" spans="1:2" x14ac:dyDescent="0.25">
      <c r="A25" t="s">
        <v>26</v>
      </c>
      <c r="B25" s="10">
        <f>1-B24</f>
        <v>0.33280380824807587</v>
      </c>
    </row>
    <row r="26" spans="1:2" x14ac:dyDescent="0.25">
      <c r="A26" t="s">
        <v>27</v>
      </c>
      <c r="B26" s="12">
        <f>B24*B20+B25*B21*(1-B8)</f>
        <v>0.0800943504669866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3895000000</v>
      </c>
      <c r="C29" s="8" t="s">
        <v>30</v>
      </c>
    </row>
    <row r="30" spans="1:2" x14ac:dyDescent="0.25">
      <c r="A30" t="s">
        <v>31</v>
      </c>
      <c r="B30" s="11">
        <v>18580000000</v>
      </c>
    </row>
    <row r="31" spans="1:2" x14ac:dyDescent="0.25">
      <c r="A31" t="s">
        <v>32</v>
      </c>
      <c r="B31" s="13">
        <v>3116000000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-0.021466242638651045</v>
      </c>
      <c r="C5" s="10">
        <f>Assumptions!B6</f>
        <v>-0.021466242638651045</v>
      </c>
      <c r="D5" s="10">
        <f>Assumptions!B6</f>
        <v>-0.021466242638651045</v>
      </c>
      <c r="E5" s="10">
        <f>Assumptions!B6</f>
        <v>-0.021466242638651045</v>
      </c>
      <c r="F5" s="10">
        <f>Assumptions!B6</f>
        <v>-0.021466242638651045</v>
      </c>
    </row>
    <row r="6" spans="1:6" x14ac:dyDescent="0.25">
      <c r="A6" t="s">
        <v>43</v>
      </c>
      <c r="B6" s="18">
        <f>Assumptions!B29*(1+B5)</f>
        <v>3811388984.9224544</v>
      </c>
      <c r="C6" s="18">
        <f>B6*(1+C5)</f>
        <v>3729572784.181827</v>
      </c>
      <c r="D6" s="18">
        <f>C6*(1+D5)</f>
        <v>3649512869.858071</v>
      </c>
      <c r="E6" s="18">
        <f>D6*(1+E5)</f>
        <v>3571171541.0808177</v>
      </c>
      <c r="F6" s="18">
        <f>E6*(1+F5)</f>
        <v>3494511906.2757316</v>
      </c>
    </row>
    <row r="7" spans="1:6" x14ac:dyDescent="0.25">
      <c r="A7" t="s">
        <v>5</v>
      </c>
      <c r="B7" s="10">
        <f>Assumptions!B7</f>
        <v>0.2658179975735028</v>
      </c>
      <c r="C7" s="10">
        <f>Assumptions!B7</f>
        <v>0.2658179975735028</v>
      </c>
      <c r="D7" s="10">
        <f>Assumptions!B7</f>
        <v>0.2658179975735028</v>
      </c>
      <c r="E7" s="10">
        <f>Assumptions!B7</f>
        <v>0.2658179975735028</v>
      </c>
      <c r="F7" s="10">
        <f>Assumptions!B7</f>
        <v>0.2658179975735028</v>
      </c>
    </row>
    <row r="8" spans="1:6" x14ac:dyDescent="0.25">
      <c r="A8" t="s">
        <v>44</v>
      </c>
      <c r="B8" s="18">
        <f>B6*B7</f>
        <v>1013135787.9457922</v>
      </c>
      <c r="C8" s="18">
        <f>C6*C7</f>
        <v>991387569.2958469</v>
      </c>
      <c r="D8" s="18">
        <f>D6*D7</f>
        <v>970106203.1843998</v>
      </c>
      <c r="E8" s="18">
        <f>E6*E7</f>
        <v>949281668.041583</v>
      </c>
      <c r="F8" s="18">
        <f>F6*F7</f>
        <v>928904157.422979</v>
      </c>
    </row>
    <row r="9" spans="1:6" x14ac:dyDescent="0.25">
      <c r="A9" t="s">
        <v>45</v>
      </c>
      <c r="B9" s="18">
        <f>B8*(1-Assumptions!B8)</f>
        <v>1005116243.4501791</v>
      </c>
      <c r="C9" s="18">
        <f>C8*(1-Assumptions!B8)</f>
        <v>983540174.2882282</v>
      </c>
      <c r="D9" s="18">
        <f>D8*(1-Assumptions!B8)</f>
        <v>962427262.2620959</v>
      </c>
      <c r="E9" s="18">
        <f>E8*(1-Assumptions!B8)</f>
        <v>941767565.128325</v>
      </c>
      <c r="F9" s="18">
        <f>F8*(1-Assumptions!B8)</f>
        <v>921551354.0660689</v>
      </c>
    </row>
    <row r="10" spans="1:6" x14ac:dyDescent="0.25">
      <c r="A10" t="s">
        <v>46</v>
      </c>
      <c r="B10" s="18">
        <f>B6*Assumptions!B9</f>
        <v>1063474413.631103</v>
      </c>
      <c r="C10" s="18">
        <f>C6*Assumptions!B9</f>
        <v>1040645613.8281007</v>
      </c>
      <c r="D10" s="18">
        <f>D6*Assumptions!B9</f>
        <v>1018306862.5808188</v>
      </c>
      <c r="E10" s="18">
        <f>E6*Assumptions!B9</f>
        <v>996447640.3880553</v>
      </c>
      <c r="F10" s="18">
        <f>F6*Assumptions!B9</f>
        <v>975057653.5627741</v>
      </c>
    </row>
    <row r="11" spans="1:6" x14ac:dyDescent="0.25">
      <c r="A11" t="s">
        <v>47</v>
      </c>
      <c r="B11" s="18">
        <f>-B6*Assumptions!B10</f>
        <v>-859966455.1473418</v>
      </c>
      <c r="C11" s="18">
        <f>-C6*Assumptions!B10</f>
        <v>-841506206.5600483</v>
      </c>
      <c r="D11" s="18">
        <f>-D6*Assumptions!B10</f>
        <v>-823442230.1480995</v>
      </c>
      <c r="E11" s="18">
        <f>-E6*Assumptions!B10</f>
        <v>-805766019.4368285</v>
      </c>
      <c r="F11" s="18">
        <f>-F6*Assumptions!B10</f>
        <v>-788469250.5536176</v>
      </c>
    </row>
    <row r="12" spans="1:6" x14ac:dyDescent="0.25">
      <c r="A12" t="s">
        <v>48</v>
      </c>
      <c r="B12" s="18">
        <f>-(B6-Assumptions!B29)*Assumptions!B11</f>
        <v>0</v>
      </c>
      <c r="C12" s="18">
        <f>-(C6-B6)*Assumptions!B11</f>
        <v>0</v>
      </c>
      <c r="D12" s="18">
        <f>-(D6-C6)*Assumptions!B11</f>
        <v>0</v>
      </c>
      <c r="E12" s="18">
        <f>-(E6-D6)*Assumptions!B11</f>
        <v>0</v>
      </c>
      <c r="F12" s="18">
        <f>-(F6-E6)*Assumptions!B11</f>
        <v>0</v>
      </c>
    </row>
    <row r="13" spans="1:6" x14ac:dyDescent="0.25">
      <c r="A13" s="19" t="s">
        <v>49</v>
      </c>
      <c r="B13" s="20">
        <f>B9+B10+B11+B12</f>
        <v>1208624201.9339404</v>
      </c>
      <c r="C13" s="20">
        <f>C9+C10+C11+C12</f>
        <v>1182679581.5562804</v>
      </c>
      <c r="D13" s="20">
        <f>D9+D10+D11+D12</f>
        <v>1157291894.6948152</v>
      </c>
      <c r="E13" s="20">
        <f>E9+E10+E11+E12</f>
        <v>1132449186.0795517</v>
      </c>
      <c r="F13" s="20">
        <f>F9+F10+F11+F12</f>
        <v>1108139757.0752254</v>
      </c>
    </row>
    <row r="14" spans="1:6" x14ac:dyDescent="0.25">
      <c r="A14" t="s">
        <v>50</v>
      </c>
      <c r="B14" s="21">
        <f>1/(1+Assumptions!$B$26)^(1-0.5*Assumptions!$B$32)</f>
        <v>0.962208419560934</v>
      </c>
      <c r="C14" s="21">
        <f>1/(1+Assumptions!$B$26)^(2-0.5*Assumptions!$B$32)</f>
        <v>0.8908558952696274</v>
      </c>
      <c r="D14" s="21">
        <f>1/(1+Assumptions!$B$26)^(3-0.5*Assumptions!$B$32)</f>
        <v>0.8247945143722484</v>
      </c>
      <c r="E14" s="21">
        <f>1/(1+Assumptions!$B$26)^(4-0.5*Assumptions!$B$32)</f>
        <v>0.7636319123562145</v>
      </c>
      <c r="F14" s="21">
        <f>1/(1+Assumptions!$B$26)^(5-0.5*Assumptions!$B$32)</f>
        <v>0.7070048204826298</v>
      </c>
    </row>
    <row r="15" spans="1:6" x14ac:dyDescent="0.25">
      <c r="A15" s="19" t="s">
        <v>51</v>
      </c>
      <c r="B15" s="20">
        <f>B13*B14</f>
        <v>1162948383.185952</v>
      </c>
      <c r="C15" s="20">
        <f>C13*C14</f>
        <v>1053597077.4444284</v>
      </c>
      <c r="D15" s="20">
        <f>D13*D14</f>
        <v>954528006.2717493</v>
      </c>
      <c r="E15" s="20">
        <f>E13*E14</f>
        <v>864774337.6121666</v>
      </c>
      <c r="F15" s="20">
        <f>F13*F14</f>
        <v>783460150.0206347</v>
      </c>
    </row>
    <row r="17" spans="1:2" x14ac:dyDescent="0.25">
      <c r="A17" s="22" t="s">
        <v>52</v>
      </c>
      <c r="B17" s="23">
        <f>SUM(B15:F15)</f>
        <v>4819307954.534931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1108139757.0752254</v>
      </c>
    </row>
    <row r="5" spans="1:2" x14ac:dyDescent="0.25">
      <c r="A5" t="s">
        <v>56</v>
      </c>
      <c r="B5" s="18">
        <f>IF(Assumptions!$B$33=0,B4,B4-Forecast!F11-Forecast!F10-Forecast!F12)</f>
        <v>921551354.0660689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0.31213187764478517</v>
      </c>
    </row>
    <row r="7" spans="1:2" x14ac:dyDescent="0.25">
      <c r="A7" t="s">
        <v>58</v>
      </c>
      <c r="B7" s="18">
        <f>-MAX(Forecast!F9,0)*B6</f>
        <v>-287645554.4907363</v>
      </c>
    </row>
    <row r="8" spans="1:2" x14ac:dyDescent="0.25">
      <c r="A8" t="s">
        <v>59</v>
      </c>
      <c r="B8" s="18">
        <f>IF(OR(Assumptions!$B$33=0,Assumptions!B12&lt;=0),B5,MAX(B5+B7,0))</f>
        <v>633905799.5753326</v>
      </c>
    </row>
    <row r="9" spans="1:2" x14ac:dyDescent="0.25">
      <c r="A9" t="s">
        <v>60</v>
      </c>
      <c r="B9" s="18">
        <f>B8*(1+Assumptions!B12)/(Assumptions!B26-Assumptions!B12)</f>
        <v>11793467734.120188</v>
      </c>
    </row>
    <row r="10" spans="1:2" x14ac:dyDescent="0.25">
      <c r="A10" t="s">
        <v>61</v>
      </c>
      <c r="B10" s="18">
        <f>B9/(1+Assumptions!B26)^(5-0.5*Assumptions!B32)</f>
        <v>8338038538.22933</v>
      </c>
    </row>
    <row r="11" spans="1:2" x14ac:dyDescent="0.25">
      <c r="A11" t="s">
        <v>62</v>
      </c>
      <c r="B11" s="18">
        <f>Forecast!B17+B10</f>
        <v>13157346492.764261</v>
      </c>
    </row>
    <row r="12" spans="1:2" x14ac:dyDescent="0.25">
      <c r="A12" t="s">
        <v>63</v>
      </c>
      <c r="B12" s="18">
        <f>-Assumptions!B30</f>
        <v>-18580000000</v>
      </c>
    </row>
    <row r="13" spans="1:2" x14ac:dyDescent="0.25">
      <c r="A13" t="s">
        <v>64</v>
      </c>
      <c r="B13" s="18">
        <f>B11+B12</f>
        <v>-5422653507.235739</v>
      </c>
    </row>
    <row r="14" spans="1:2" x14ac:dyDescent="0.25">
      <c r="A14" s="19" t="s">
        <v>65</v>
      </c>
      <c r="B14" s="24">
        <f>B13/Assumptions!B31</f>
        <v>-1.7402610742091589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1903961810.985753</v>
      </c>
    </row>
    <row r="18" spans="1:2" x14ac:dyDescent="0.25">
      <c r="A18" t="s">
        <v>60</v>
      </c>
      <c r="B18" s="18">
        <f>B17*Assumptions!B13</f>
        <v>38079236219.71506</v>
      </c>
    </row>
    <row r="19" spans="1:2" x14ac:dyDescent="0.25">
      <c r="A19" t="s">
        <v>61</v>
      </c>
      <c r="B19" s="18">
        <f>B18/(1+Assumptions!B26)^(5-0.5*Assumptions!B32)</f>
        <v>26922203567.6353</v>
      </c>
    </row>
    <row r="20" spans="1:2" x14ac:dyDescent="0.25">
      <c r="A20" t="s">
        <v>62</v>
      </c>
      <c r="B20" s="18">
        <f>Forecast!B17+B19</f>
        <v>31741511522.17023</v>
      </c>
    </row>
    <row r="21" spans="1:2" x14ac:dyDescent="0.25">
      <c r="A21" t="s">
        <v>63</v>
      </c>
      <c r="B21" s="18">
        <f>-Assumptions!B30</f>
        <v>-18580000000</v>
      </c>
    </row>
    <row r="22" spans="1:2" x14ac:dyDescent="0.25">
      <c r="A22" t="s">
        <v>64</v>
      </c>
      <c r="B22" s="18">
        <f>B20+B21</f>
        <v>13161511522.17023</v>
      </c>
    </row>
    <row r="23" spans="1:2" x14ac:dyDescent="0.25">
      <c r="A23" s="19" t="s">
        <v>65</v>
      </c>
      <c r="B23" s="25">
        <f>B22/Assumptions!B31</f>
        <v>4.223848370401229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13.26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-1.7402610742091589</v>
      </c>
    </row>
    <row r="29" spans="1:2" x14ac:dyDescent="0.25">
      <c r="A29" s="19" t="s">
        <v>73</v>
      </c>
      <c r="B29" s="12">
        <f>B28/B26-1</f>
        <v>-1.1312414083113995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0.060094</v>
      </c>
      <c r="B5" s="31">
        <v>-0.5059861737720553</v>
      </c>
      <c r="C5" s="31">
        <v>-0.4870622456344242</v>
      </c>
      <c r="D5" s="31">
        <v>-0.46813831749679313</v>
      </c>
      <c r="E5" s="31">
        <v>-0.4492143893591608</v>
      </c>
      <c r="F5" s="31">
        <v>-0.4302904612215285</v>
      </c>
    </row>
    <row r="6" spans="1:6" x14ac:dyDescent="0.25">
      <c r="A6" s="30">
        <v>0.070094</v>
      </c>
      <c r="B6" s="31">
        <v>-1.2252627168096633</v>
      </c>
      <c r="C6" s="31">
        <v>-1.2097097740996843</v>
      </c>
      <c r="D6" s="31">
        <v>-1.1941568313897064</v>
      </c>
      <c r="E6" s="31">
        <v>-1.1786038886797283</v>
      </c>
      <c r="F6" s="31">
        <v>-1.1630509459697504</v>
      </c>
    </row>
    <row r="7" spans="1:6" x14ac:dyDescent="0.25">
      <c r="A7" s="30">
        <v>0.080094</v>
      </c>
      <c r="B7" s="31">
        <v>-1.766350589846671</v>
      </c>
      <c r="C7" s="31">
        <v>-1.753297446044713</v>
      </c>
      <c r="D7" s="32">
        <v>-1.7402443022427565</v>
      </c>
      <c r="E7" s="31">
        <v>-1.727191158440798</v>
      </c>
      <c r="F7" s="31">
        <v>-1.714138014638842</v>
      </c>
    </row>
    <row r="8" spans="1:6" x14ac:dyDescent="0.25">
      <c r="A8" s="30">
        <v>0.090094</v>
      </c>
      <c r="B8" s="31">
        <v>-2.1885171201404834</v>
      </c>
      <c r="C8" s="31">
        <v>-2.177384216345417</v>
      </c>
      <c r="D8" s="31">
        <v>-2.1662513125503513</v>
      </c>
      <c r="E8" s="31">
        <v>-2.1551184087552864</v>
      </c>
      <c r="F8" s="31">
        <v>-2.143985504960221</v>
      </c>
    </row>
    <row r="9" spans="1:6" x14ac:dyDescent="0.25">
      <c r="A9" s="30">
        <v>0.100094</v>
      </c>
      <c r="B9" s="31">
        <v>-2.5273488577954413</v>
      </c>
      <c r="C9" s="31">
        <v>-2.5177316285194067</v>
      </c>
      <c r="D9" s="31">
        <v>-2.508114399243373</v>
      </c>
      <c r="E9" s="31">
        <v>-2.4984971699673393</v>
      </c>
      <c r="F9" s="31">
        <v>-2.488879940691305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3895000000</v>
      </c>
      <c r="C5" s="18">
        <v>3770000000</v>
      </c>
      <c r="D5" s="18">
        <v>4119000000</v>
      </c>
      <c r="E5" s="18">
        <v>4157000000</v>
      </c>
      <c r="F5" s="8" t="s">
        <v>84</v>
      </c>
    </row>
    <row r="6" spans="1:6" x14ac:dyDescent="0.25">
      <c r="A6" t="s">
        <v>44</v>
      </c>
      <c r="B6" s="18">
        <v>1170000000</v>
      </c>
      <c r="C6" s="18">
        <v>934000000</v>
      </c>
      <c r="D6" s="18">
        <v>1132000000</v>
      </c>
      <c r="E6" s="18">
        <v>999000000</v>
      </c>
      <c r="F6" s="8" t="s">
        <v>85</v>
      </c>
    </row>
    <row r="7" spans="1:6" x14ac:dyDescent="0.25">
      <c r="A7" t="s">
        <v>86</v>
      </c>
      <c r="B7" s="18">
        <v>1162000000</v>
      </c>
      <c r="C7" s="18">
        <v>1097000000</v>
      </c>
      <c r="D7" s="18">
        <v>1069000000</v>
      </c>
      <c r="E7" s="18">
        <v>1111000000</v>
      </c>
      <c r="F7" s="8" t="s">
        <v>87</v>
      </c>
    </row>
    <row r="8" spans="1:6" x14ac:dyDescent="0.25">
      <c r="A8" t="s">
        <v>88</v>
      </c>
      <c r="B8" s="18">
        <v>422000000</v>
      </c>
      <c r="C8" s="18">
        <v>907000000</v>
      </c>
      <c r="D8" s="18">
        <v>1116000000</v>
      </c>
      <c r="E8" s="18">
        <v>1175000000</v>
      </c>
      <c r="F8" s="8" t="s">
        <v>89</v>
      </c>
    </row>
    <row r="9" spans="1:6" x14ac:dyDescent="0.25">
      <c r="A9" t="s">
        <v>90</v>
      </c>
      <c r="B9" s="18">
        <v>33000000</v>
      </c>
      <c r="C9" s="18">
        <v>84000000</v>
      </c>
      <c r="D9" s="18">
        <v>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20640000000</v>
      </c>
      <c r="C10" s="18">
        <v>21072000000</v>
      </c>
      <c r="D10" s="18">
        <v>19727000000</v>
      </c>
      <c r="E10" s="18">
        <v>18558000000</v>
      </c>
      <c r="F10" s="8" t="s">
        <v>93</v>
      </c>
    </row>
    <row r="11" spans="1:6" x14ac:dyDescent="0.25">
      <c r="A11" t="s">
        <v>94</v>
      </c>
      <c r="B11" s="18">
        <v>2060000000</v>
      </c>
      <c r="C11" s="18">
        <v>1727000000</v>
      </c>
      <c r="D11" s="18">
        <v>2041000000</v>
      </c>
      <c r="E11" s="18">
        <v>2081000000</v>
      </c>
      <c r="F11" s="8" t="s">
        <v>95</v>
      </c>
    </row>
    <row r="12" spans="1:6" x14ac:dyDescent="0.25">
      <c r="A12" t="s">
        <v>32</v>
      </c>
      <c r="B12" s="34">
        <v>3116000000</v>
      </c>
      <c r="C12" s="34">
        <v>3104000000</v>
      </c>
      <c r="D12" s="34">
        <v>3089000000</v>
      </c>
      <c r="E12" s="34">
        <v>3076000000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2026-09-19T01:04:20Z</dcterms:modified>
</cp:coreProperties>
</file>